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azky\031020_ZS U lesa\_archiv\20_07_13-odevzdani\"/>
    </mc:Choice>
  </mc:AlternateContent>
  <xr:revisionPtr revIDLastSave="0" documentId="13_ncr:1_{CD17D76B-8955-410E-AF46-237674CF69A5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C6" i="4"/>
  <c r="F6" i="4"/>
  <c r="C10" i="4"/>
  <c r="F22" i="4"/>
  <c r="I22" i="4"/>
  <c r="K13" i="1"/>
  <c r="AS13" i="1"/>
  <c r="AT13" i="1"/>
  <c r="K14" i="1"/>
  <c r="AL14" i="1" s="1"/>
  <c r="AU13" i="1" s="1"/>
  <c r="Z14" i="1"/>
  <c r="AB14" i="1"/>
  <c r="AD14" i="1"/>
  <c r="AE14" i="1"/>
  <c r="AF14" i="1"/>
  <c r="AG14" i="1"/>
  <c r="AH14" i="1"/>
  <c r="AJ14" i="1"/>
  <c r="AK14" i="1"/>
  <c r="AO14" i="1"/>
  <c r="AP14" i="1"/>
  <c r="BD14" i="1"/>
  <c r="BF14" i="1"/>
  <c r="BH14" i="1"/>
  <c r="BJ14" i="1"/>
  <c r="AS15" i="1"/>
  <c r="K16" i="1"/>
  <c r="K15" i="1" s="1"/>
  <c r="Z16" i="1"/>
  <c r="AD16" i="1"/>
  <c r="AE16" i="1"/>
  <c r="AF16" i="1"/>
  <c r="AG16" i="1"/>
  <c r="AH16" i="1"/>
  <c r="AJ16" i="1"/>
  <c r="AK16" i="1"/>
  <c r="AT15" i="1" s="1"/>
  <c r="AO16" i="1"/>
  <c r="AP16" i="1"/>
  <c r="BD16" i="1"/>
  <c r="BF16" i="1"/>
  <c r="BJ16" i="1"/>
  <c r="J17" i="1"/>
  <c r="K17" i="1"/>
  <c r="J18" i="1"/>
  <c r="K18" i="1"/>
  <c r="Z18" i="1"/>
  <c r="AD18" i="1"/>
  <c r="AE18" i="1"/>
  <c r="AF18" i="1"/>
  <c r="AG18" i="1"/>
  <c r="AH18" i="1"/>
  <c r="AJ18" i="1"/>
  <c r="AS17" i="1" s="1"/>
  <c r="AK18" i="1"/>
  <c r="AT17" i="1" s="1"/>
  <c r="AL18" i="1"/>
  <c r="AU17" i="1" s="1"/>
  <c r="AO18" i="1"/>
  <c r="AP18" i="1"/>
  <c r="AX18" i="1"/>
  <c r="BD18" i="1"/>
  <c r="BF18" i="1"/>
  <c r="BI18" i="1"/>
  <c r="AC18" i="1" s="1"/>
  <c r="BJ18" i="1"/>
  <c r="I20" i="1"/>
  <c r="J20" i="1"/>
  <c r="K20" i="1"/>
  <c r="Z20" i="1"/>
  <c r="AD20" i="1"/>
  <c r="AE20" i="1"/>
  <c r="AF20" i="1"/>
  <c r="AG20" i="1"/>
  <c r="AH20" i="1"/>
  <c r="AJ20" i="1"/>
  <c r="AK20" i="1"/>
  <c r="AL20" i="1"/>
  <c r="AO20" i="1"/>
  <c r="AP20" i="1"/>
  <c r="AW20" i="1"/>
  <c r="AV20" i="1" s="1"/>
  <c r="AX20" i="1"/>
  <c r="BD20" i="1"/>
  <c r="BF20" i="1"/>
  <c r="BH20" i="1"/>
  <c r="AB20" i="1" s="1"/>
  <c r="BI20" i="1"/>
  <c r="AC20" i="1" s="1"/>
  <c r="BJ20" i="1"/>
  <c r="I22" i="1"/>
  <c r="I21" i="1" s="1"/>
  <c r="K22" i="1"/>
  <c r="K21" i="1" s="1"/>
  <c r="Z22" i="1"/>
  <c r="AB22" i="1"/>
  <c r="AC22" i="1"/>
  <c r="AD22" i="1"/>
  <c r="AE22" i="1"/>
  <c r="AF22" i="1"/>
  <c r="AG22" i="1"/>
  <c r="AH22" i="1"/>
  <c r="AJ22" i="1"/>
  <c r="AS21" i="1" s="1"/>
  <c r="AK22" i="1"/>
  <c r="AT21" i="1" s="1"/>
  <c r="AL22" i="1"/>
  <c r="AO22" i="1"/>
  <c r="AP22" i="1"/>
  <c r="J22" i="1" s="1"/>
  <c r="AW22" i="1"/>
  <c r="AX22" i="1"/>
  <c r="BD22" i="1"/>
  <c r="BF22" i="1"/>
  <c r="BH22" i="1"/>
  <c r="BI22" i="1"/>
  <c r="BJ22" i="1"/>
  <c r="K23" i="1"/>
  <c r="AL23" i="1" s="1"/>
  <c r="AU21" i="1" s="1"/>
  <c r="Z23" i="1"/>
  <c r="AB23" i="1"/>
  <c r="AD23" i="1"/>
  <c r="AE23" i="1"/>
  <c r="AF23" i="1"/>
  <c r="AG23" i="1"/>
  <c r="AH23" i="1"/>
  <c r="AJ23" i="1"/>
  <c r="AK23" i="1"/>
  <c r="AO23" i="1"/>
  <c r="I23" i="1" s="1"/>
  <c r="AP23" i="1"/>
  <c r="AW23" i="1"/>
  <c r="BD23" i="1"/>
  <c r="BF23" i="1"/>
  <c r="BH23" i="1"/>
  <c r="BI23" i="1"/>
  <c r="AC23" i="1" s="1"/>
  <c r="BJ23" i="1"/>
  <c r="K24" i="1"/>
  <c r="AS24" i="1"/>
  <c r="K25" i="1"/>
  <c r="AL25" i="1" s="1"/>
  <c r="Z25" i="1"/>
  <c r="AB25" i="1"/>
  <c r="AD25" i="1"/>
  <c r="AE25" i="1"/>
  <c r="AF25" i="1"/>
  <c r="AG25" i="1"/>
  <c r="AH25" i="1"/>
  <c r="AJ25" i="1"/>
  <c r="AK25" i="1"/>
  <c r="AO25" i="1"/>
  <c r="AP25" i="1"/>
  <c r="BD25" i="1"/>
  <c r="BF25" i="1"/>
  <c r="BH25" i="1"/>
  <c r="BJ25" i="1"/>
  <c r="K26" i="1"/>
  <c r="Z26" i="1"/>
  <c r="AD26" i="1"/>
  <c r="AE26" i="1"/>
  <c r="AF26" i="1"/>
  <c r="AG26" i="1"/>
  <c r="AH26" i="1"/>
  <c r="AJ26" i="1"/>
  <c r="AK26" i="1"/>
  <c r="AL26" i="1"/>
  <c r="AO26" i="1"/>
  <c r="AP26" i="1"/>
  <c r="BD26" i="1"/>
  <c r="BF26" i="1"/>
  <c r="BJ26" i="1"/>
  <c r="J27" i="1"/>
  <c r="K27" i="1"/>
  <c r="Z27" i="1"/>
  <c r="AD27" i="1"/>
  <c r="AE27" i="1"/>
  <c r="AF27" i="1"/>
  <c r="AG27" i="1"/>
  <c r="AH27" i="1"/>
  <c r="AJ27" i="1"/>
  <c r="AK27" i="1"/>
  <c r="AT24" i="1" s="1"/>
  <c r="AL27" i="1"/>
  <c r="AO27" i="1"/>
  <c r="BH27" i="1" s="1"/>
  <c r="AB27" i="1" s="1"/>
  <c r="AP27" i="1"/>
  <c r="AW27" i="1"/>
  <c r="AX27" i="1"/>
  <c r="BC27" i="1"/>
  <c r="BD27" i="1"/>
  <c r="BF27" i="1"/>
  <c r="BI27" i="1"/>
  <c r="AC27" i="1" s="1"/>
  <c r="BJ27" i="1"/>
  <c r="I28" i="1"/>
  <c r="J28" i="1"/>
  <c r="AT28" i="1"/>
  <c r="I29" i="1"/>
  <c r="J29" i="1"/>
  <c r="K29" i="1"/>
  <c r="K28" i="1" s="1"/>
  <c r="Z29" i="1"/>
  <c r="AD29" i="1"/>
  <c r="AE29" i="1"/>
  <c r="AF29" i="1"/>
  <c r="AG29" i="1"/>
  <c r="AH29" i="1"/>
  <c r="AJ29" i="1"/>
  <c r="AS28" i="1" s="1"/>
  <c r="AK29" i="1"/>
  <c r="AL29" i="1"/>
  <c r="AU28" i="1" s="1"/>
  <c r="AO29" i="1"/>
  <c r="AP29" i="1"/>
  <c r="AV29" i="1"/>
  <c r="AW29" i="1"/>
  <c r="AX29" i="1"/>
  <c r="BC29" i="1"/>
  <c r="BD29" i="1"/>
  <c r="BF29" i="1"/>
  <c r="BH29" i="1"/>
  <c r="AB29" i="1" s="1"/>
  <c r="BI29" i="1"/>
  <c r="AC29" i="1" s="1"/>
  <c r="BJ29" i="1"/>
  <c r="AT30" i="1"/>
  <c r="I31" i="1"/>
  <c r="K31" i="1"/>
  <c r="Z31" i="1"/>
  <c r="AD31" i="1"/>
  <c r="AE31" i="1"/>
  <c r="AF31" i="1"/>
  <c r="AG31" i="1"/>
  <c r="AH31" i="1"/>
  <c r="AJ31" i="1"/>
  <c r="AS30" i="1" s="1"/>
  <c r="AK31" i="1"/>
  <c r="AL31" i="1"/>
  <c r="AO31" i="1"/>
  <c r="AP31" i="1"/>
  <c r="J31" i="1" s="1"/>
  <c r="AW31" i="1"/>
  <c r="BC31" i="1" s="1"/>
  <c r="AX31" i="1"/>
  <c r="BD31" i="1"/>
  <c r="BF31" i="1"/>
  <c r="BH31" i="1"/>
  <c r="AB31" i="1" s="1"/>
  <c r="BJ31" i="1"/>
  <c r="K33" i="1"/>
  <c r="AL33" i="1" s="1"/>
  <c r="AU30" i="1" s="1"/>
  <c r="Z33" i="1"/>
  <c r="AD33" i="1"/>
  <c r="AE33" i="1"/>
  <c r="AF33" i="1"/>
  <c r="AG33" i="1"/>
  <c r="AH33" i="1"/>
  <c r="AJ33" i="1"/>
  <c r="AK33" i="1"/>
  <c r="AO33" i="1"/>
  <c r="I33" i="1" s="1"/>
  <c r="I30" i="1" s="1"/>
  <c r="E18" i="2" s="1"/>
  <c r="AP33" i="1"/>
  <c r="BD33" i="1"/>
  <c r="BF33" i="1"/>
  <c r="BH33" i="1"/>
  <c r="AB33" i="1" s="1"/>
  <c r="BI33" i="1"/>
  <c r="AC33" i="1" s="1"/>
  <c r="BJ33" i="1"/>
  <c r="K34" i="1"/>
  <c r="AS34" i="1"/>
  <c r="AT34" i="1"/>
  <c r="J35" i="1"/>
  <c r="J34" i="1" s="1"/>
  <c r="K35" i="1"/>
  <c r="Z35" i="1"/>
  <c r="AD35" i="1"/>
  <c r="AE35" i="1"/>
  <c r="AF35" i="1"/>
  <c r="AG35" i="1"/>
  <c r="AH35" i="1"/>
  <c r="AJ35" i="1"/>
  <c r="AK35" i="1"/>
  <c r="AL35" i="1"/>
  <c r="AU34" i="1" s="1"/>
  <c r="AO35" i="1"/>
  <c r="AP35" i="1"/>
  <c r="BD35" i="1"/>
  <c r="BF35" i="1"/>
  <c r="BH35" i="1"/>
  <c r="AB35" i="1" s="1"/>
  <c r="BJ35" i="1"/>
  <c r="K37" i="1"/>
  <c r="Z37" i="1"/>
  <c r="AD37" i="1"/>
  <c r="AE37" i="1"/>
  <c r="AF37" i="1"/>
  <c r="AG37" i="1"/>
  <c r="AH37" i="1"/>
  <c r="AJ37" i="1"/>
  <c r="AK37" i="1"/>
  <c r="AL37" i="1"/>
  <c r="AO37" i="1"/>
  <c r="AP37" i="1"/>
  <c r="BI37" i="1" s="1"/>
  <c r="AC37" i="1" s="1"/>
  <c r="AX37" i="1"/>
  <c r="BD37" i="1"/>
  <c r="BF37" i="1"/>
  <c r="BJ37" i="1"/>
  <c r="J38" i="1"/>
  <c r="K38" i="1"/>
  <c r="AL38" i="1" s="1"/>
  <c r="Z38" i="1"/>
  <c r="AC38" i="1"/>
  <c r="AD38" i="1"/>
  <c r="AE38" i="1"/>
  <c r="AF38" i="1"/>
  <c r="AG38" i="1"/>
  <c r="AH38" i="1"/>
  <c r="AJ38" i="1"/>
  <c r="AS36" i="1" s="1"/>
  <c r="AK38" i="1"/>
  <c r="AO38" i="1"/>
  <c r="BH38" i="1" s="1"/>
  <c r="AB38" i="1" s="1"/>
  <c r="AP38" i="1"/>
  <c r="AW38" i="1"/>
  <c r="AX38" i="1"/>
  <c r="BC38" i="1" s="1"/>
  <c r="BD38" i="1"/>
  <c r="BF38" i="1"/>
  <c r="BI38" i="1"/>
  <c r="BJ38" i="1"/>
  <c r="I40" i="1"/>
  <c r="J40" i="1"/>
  <c r="K40" i="1"/>
  <c r="K39" i="1" s="1"/>
  <c r="Z40" i="1"/>
  <c r="AD40" i="1"/>
  <c r="AE40" i="1"/>
  <c r="AF40" i="1"/>
  <c r="AG40" i="1"/>
  <c r="AH40" i="1"/>
  <c r="AJ40" i="1"/>
  <c r="AK40" i="1"/>
  <c r="AT39" i="1" s="1"/>
  <c r="AL40" i="1"/>
  <c r="AO40" i="1"/>
  <c r="AP40" i="1"/>
  <c r="AW40" i="1"/>
  <c r="AV40" i="1" s="1"/>
  <c r="AX40" i="1"/>
  <c r="BC40" i="1" s="1"/>
  <c r="BD40" i="1"/>
  <c r="BF40" i="1"/>
  <c r="BH40" i="1"/>
  <c r="AB40" i="1" s="1"/>
  <c r="BI40" i="1"/>
  <c r="AC40" i="1" s="1"/>
  <c r="BJ40" i="1"/>
  <c r="I41" i="1"/>
  <c r="K41" i="1"/>
  <c r="Z41" i="1"/>
  <c r="AD41" i="1"/>
  <c r="AE41" i="1"/>
  <c r="AF41" i="1"/>
  <c r="AG41" i="1"/>
  <c r="AH41" i="1"/>
  <c r="AJ41" i="1"/>
  <c r="AK41" i="1"/>
  <c r="AL41" i="1"/>
  <c r="AO41" i="1"/>
  <c r="AP41" i="1"/>
  <c r="J41" i="1" s="1"/>
  <c r="AW41" i="1"/>
  <c r="BD41" i="1"/>
  <c r="BF41" i="1"/>
  <c r="BH41" i="1"/>
  <c r="AB41" i="1" s="1"/>
  <c r="BJ41" i="1"/>
  <c r="K42" i="1"/>
  <c r="AL42" i="1" s="1"/>
  <c r="Z42" i="1"/>
  <c r="AB42" i="1"/>
  <c r="AC42" i="1"/>
  <c r="AD42" i="1"/>
  <c r="AE42" i="1"/>
  <c r="AF42" i="1"/>
  <c r="AG42" i="1"/>
  <c r="AH42" i="1"/>
  <c r="AJ42" i="1"/>
  <c r="AK42" i="1"/>
  <c r="AO42" i="1"/>
  <c r="I42" i="1" s="1"/>
  <c r="AP42" i="1"/>
  <c r="AW42" i="1"/>
  <c r="BD42" i="1"/>
  <c r="BF42" i="1"/>
  <c r="BH42" i="1"/>
  <c r="BI42" i="1"/>
  <c r="BJ42" i="1"/>
  <c r="J43" i="1"/>
  <c r="K43" i="1"/>
  <c r="AL43" i="1" s="1"/>
  <c r="Z43" i="1"/>
  <c r="AD43" i="1"/>
  <c r="AE43" i="1"/>
  <c r="AF43" i="1"/>
  <c r="AG43" i="1"/>
  <c r="AH43" i="1"/>
  <c r="AJ43" i="1"/>
  <c r="AK43" i="1"/>
  <c r="AO43" i="1"/>
  <c r="AP43" i="1"/>
  <c r="BD43" i="1"/>
  <c r="BF43" i="1"/>
  <c r="BH43" i="1"/>
  <c r="AB43" i="1" s="1"/>
  <c r="BJ43" i="1"/>
  <c r="K44" i="1"/>
  <c r="K45" i="1"/>
  <c r="Z45" i="1"/>
  <c r="AD45" i="1"/>
  <c r="AE45" i="1"/>
  <c r="AF45" i="1"/>
  <c r="AG45" i="1"/>
  <c r="AH45" i="1"/>
  <c r="AJ45" i="1"/>
  <c r="AK45" i="1"/>
  <c r="AL45" i="1"/>
  <c r="AO45" i="1"/>
  <c r="AP45" i="1"/>
  <c r="BI45" i="1" s="1"/>
  <c r="AC45" i="1" s="1"/>
  <c r="BD45" i="1"/>
  <c r="BF45" i="1"/>
  <c r="BJ45" i="1"/>
  <c r="I46" i="1"/>
  <c r="J46" i="1"/>
  <c r="K46" i="1"/>
  <c r="Z46" i="1"/>
  <c r="AC46" i="1"/>
  <c r="AD46" i="1"/>
  <c r="AE46" i="1"/>
  <c r="AF46" i="1"/>
  <c r="AG46" i="1"/>
  <c r="AH46" i="1"/>
  <c r="AJ46" i="1"/>
  <c r="AS44" i="1" s="1"/>
  <c r="AK46" i="1"/>
  <c r="AL46" i="1"/>
  <c r="AO46" i="1"/>
  <c r="BH46" i="1" s="1"/>
  <c r="AB46" i="1" s="1"/>
  <c r="AP46" i="1"/>
  <c r="AW46" i="1"/>
  <c r="AV46" i="1" s="1"/>
  <c r="AX46" i="1"/>
  <c r="BC46" i="1"/>
  <c r="BD46" i="1"/>
  <c r="BF46" i="1"/>
  <c r="BI46" i="1"/>
  <c r="BJ46" i="1"/>
  <c r="I47" i="1"/>
  <c r="J47" i="1"/>
  <c r="AT47" i="1"/>
  <c r="I48" i="1"/>
  <c r="J48" i="1"/>
  <c r="K48" i="1"/>
  <c r="K47" i="1" s="1"/>
  <c r="Z48" i="1"/>
  <c r="AD48" i="1"/>
  <c r="AE48" i="1"/>
  <c r="AF48" i="1"/>
  <c r="AG48" i="1"/>
  <c r="AH48" i="1"/>
  <c r="AJ48" i="1"/>
  <c r="AS47" i="1" s="1"/>
  <c r="AK48" i="1"/>
  <c r="AL48" i="1"/>
  <c r="AU47" i="1" s="1"/>
  <c r="AO48" i="1"/>
  <c r="AP48" i="1"/>
  <c r="AV48" i="1"/>
  <c r="AW48" i="1"/>
  <c r="AX48" i="1"/>
  <c r="BC48" i="1"/>
  <c r="BD48" i="1"/>
  <c r="BF48" i="1"/>
  <c r="BH48" i="1"/>
  <c r="AB48" i="1" s="1"/>
  <c r="BI48" i="1"/>
  <c r="AC48" i="1" s="1"/>
  <c r="BJ48" i="1"/>
  <c r="AT49" i="1"/>
  <c r="I50" i="1"/>
  <c r="K50" i="1"/>
  <c r="Z50" i="1"/>
  <c r="AD50" i="1"/>
  <c r="AE50" i="1"/>
  <c r="AF50" i="1"/>
  <c r="AG50" i="1"/>
  <c r="AH50" i="1"/>
  <c r="AJ50" i="1"/>
  <c r="AS49" i="1" s="1"/>
  <c r="AK50" i="1"/>
  <c r="AL50" i="1"/>
  <c r="AO50" i="1"/>
  <c r="AP50" i="1"/>
  <c r="J50" i="1" s="1"/>
  <c r="AW50" i="1"/>
  <c r="BC50" i="1" s="1"/>
  <c r="AX50" i="1"/>
  <c r="BD50" i="1"/>
  <c r="BF50" i="1"/>
  <c r="BH50" i="1"/>
  <c r="AB50" i="1" s="1"/>
  <c r="BJ50" i="1"/>
  <c r="K51" i="1"/>
  <c r="AL51" i="1" s="1"/>
  <c r="AU49" i="1" s="1"/>
  <c r="Z51" i="1"/>
  <c r="AD51" i="1"/>
  <c r="AE51" i="1"/>
  <c r="AF51" i="1"/>
  <c r="AG51" i="1"/>
  <c r="AH51" i="1"/>
  <c r="AJ51" i="1"/>
  <c r="AK51" i="1"/>
  <c r="AO51" i="1"/>
  <c r="BH51" i="1" s="1"/>
  <c r="AB51" i="1" s="1"/>
  <c r="AP51" i="1"/>
  <c r="BD51" i="1"/>
  <c r="BF51" i="1"/>
  <c r="BI51" i="1"/>
  <c r="AC51" i="1" s="1"/>
  <c r="BJ51" i="1"/>
  <c r="K52" i="1"/>
  <c r="AL52" i="1" s="1"/>
  <c r="Z52" i="1"/>
  <c r="AB52" i="1"/>
  <c r="AD52" i="1"/>
  <c r="AE52" i="1"/>
  <c r="AF52" i="1"/>
  <c r="AG52" i="1"/>
  <c r="AH52" i="1"/>
  <c r="AJ52" i="1"/>
  <c r="AK52" i="1"/>
  <c r="AO52" i="1"/>
  <c r="AP52" i="1"/>
  <c r="BD52" i="1"/>
  <c r="BF52" i="1"/>
  <c r="BH52" i="1"/>
  <c r="BJ52" i="1"/>
  <c r="K53" i="1"/>
  <c r="AS53" i="1"/>
  <c r="K54" i="1"/>
  <c r="AL54" i="1" s="1"/>
  <c r="AU53" i="1" s="1"/>
  <c r="Z54" i="1"/>
  <c r="AD54" i="1"/>
  <c r="AE54" i="1"/>
  <c r="AF54" i="1"/>
  <c r="AG54" i="1"/>
  <c r="AH54" i="1"/>
  <c r="AJ54" i="1"/>
  <c r="AK54" i="1"/>
  <c r="AT53" i="1" s="1"/>
  <c r="AO54" i="1"/>
  <c r="AP54" i="1"/>
  <c r="BI54" i="1" s="1"/>
  <c r="AC54" i="1" s="1"/>
  <c r="BD54" i="1"/>
  <c r="BF54" i="1"/>
  <c r="BJ54" i="1"/>
  <c r="K55" i="1"/>
  <c r="J56" i="1"/>
  <c r="J55" i="1" s="1"/>
  <c r="K56" i="1"/>
  <c r="AL56" i="1" s="1"/>
  <c r="AU55" i="1" s="1"/>
  <c r="Z56" i="1"/>
  <c r="AC56" i="1"/>
  <c r="AD56" i="1"/>
  <c r="AE56" i="1"/>
  <c r="AF56" i="1"/>
  <c r="AG56" i="1"/>
  <c r="AH56" i="1"/>
  <c r="AJ56" i="1"/>
  <c r="AS55" i="1" s="1"/>
  <c r="AK56" i="1"/>
  <c r="AO56" i="1"/>
  <c r="BH56" i="1" s="1"/>
  <c r="AB56" i="1" s="1"/>
  <c r="AP56" i="1"/>
  <c r="AX56" i="1"/>
  <c r="BD56" i="1"/>
  <c r="BF56" i="1"/>
  <c r="BI56" i="1"/>
  <c r="BJ56" i="1"/>
  <c r="I57" i="1"/>
  <c r="J57" i="1"/>
  <c r="K57" i="1"/>
  <c r="Z57" i="1"/>
  <c r="AD57" i="1"/>
  <c r="AE57" i="1"/>
  <c r="AF57" i="1"/>
  <c r="AG57" i="1"/>
  <c r="AH57" i="1"/>
  <c r="AJ57" i="1"/>
  <c r="AK57" i="1"/>
  <c r="AL57" i="1"/>
  <c r="AO57" i="1"/>
  <c r="AP57" i="1"/>
  <c r="AW57" i="1"/>
  <c r="AX57" i="1"/>
  <c r="BD57" i="1"/>
  <c r="BF57" i="1"/>
  <c r="BH57" i="1"/>
  <c r="AB57" i="1" s="1"/>
  <c r="BI57" i="1"/>
  <c r="AC57" i="1" s="1"/>
  <c r="BJ57" i="1"/>
  <c r="I59" i="1"/>
  <c r="K59" i="1"/>
  <c r="K58" i="1" s="1"/>
  <c r="Z59" i="1"/>
  <c r="AB59" i="1"/>
  <c r="AC59" i="1"/>
  <c r="AD59" i="1"/>
  <c r="AE59" i="1"/>
  <c r="AF59" i="1"/>
  <c r="AG59" i="1"/>
  <c r="AH59" i="1"/>
  <c r="AJ59" i="1"/>
  <c r="AS58" i="1" s="1"/>
  <c r="AK59" i="1"/>
  <c r="AT58" i="1" s="1"/>
  <c r="AL59" i="1"/>
  <c r="AO59" i="1"/>
  <c r="AP59" i="1"/>
  <c r="J59" i="1" s="1"/>
  <c r="AW59" i="1"/>
  <c r="BD59" i="1"/>
  <c r="BF59" i="1"/>
  <c r="BH59" i="1"/>
  <c r="BJ59" i="1"/>
  <c r="K60" i="1"/>
  <c r="AL60" i="1" s="1"/>
  <c r="AU58" i="1" s="1"/>
  <c r="Z60" i="1"/>
  <c r="AB60" i="1"/>
  <c r="AC60" i="1"/>
  <c r="AD60" i="1"/>
  <c r="AE60" i="1"/>
  <c r="AF60" i="1"/>
  <c r="AG60" i="1"/>
  <c r="AH60" i="1"/>
  <c r="AJ60" i="1"/>
  <c r="AK60" i="1"/>
  <c r="AO60" i="1"/>
  <c r="I60" i="1" s="1"/>
  <c r="AP60" i="1"/>
  <c r="AW60" i="1"/>
  <c r="BD60" i="1"/>
  <c r="BF60" i="1"/>
  <c r="BH60" i="1"/>
  <c r="BI60" i="1"/>
  <c r="BJ60" i="1"/>
  <c r="J61" i="1"/>
  <c r="K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BD61" i="1"/>
  <c r="BF61" i="1"/>
  <c r="BH61" i="1"/>
  <c r="BJ61" i="1"/>
  <c r="I62" i="1"/>
  <c r="K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BD62" i="1"/>
  <c r="BF62" i="1"/>
  <c r="BJ62" i="1"/>
  <c r="I63" i="1"/>
  <c r="J63" i="1"/>
  <c r="K63" i="1"/>
  <c r="AB63" i="1"/>
  <c r="AC63" i="1"/>
  <c r="AD63" i="1"/>
  <c r="AE63" i="1"/>
  <c r="AF63" i="1"/>
  <c r="AG63" i="1"/>
  <c r="AH63" i="1"/>
  <c r="AJ63" i="1"/>
  <c r="AK63" i="1"/>
  <c r="AL63" i="1"/>
  <c r="AO63" i="1"/>
  <c r="BH63" i="1" s="1"/>
  <c r="AP63" i="1"/>
  <c r="AX63" i="1"/>
  <c r="BD63" i="1"/>
  <c r="BF63" i="1"/>
  <c r="BI63" i="1"/>
  <c r="BJ63" i="1"/>
  <c r="Z63" i="1" s="1"/>
  <c r="I64" i="1"/>
  <c r="J64" i="1"/>
  <c r="K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Z64" i="1" s="1"/>
  <c r="I65" i="1"/>
  <c r="K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W65" i="1"/>
  <c r="BD65" i="1"/>
  <c r="BF65" i="1"/>
  <c r="BH65" i="1"/>
  <c r="BJ65" i="1"/>
  <c r="AT66" i="1"/>
  <c r="AU66" i="1"/>
  <c r="K67" i="1"/>
  <c r="AL67" i="1" s="1"/>
  <c r="AB67" i="1"/>
  <c r="AC67" i="1"/>
  <c r="AD67" i="1"/>
  <c r="AE67" i="1"/>
  <c r="AF67" i="1"/>
  <c r="AG67" i="1"/>
  <c r="AH67" i="1"/>
  <c r="AJ67" i="1"/>
  <c r="AS66" i="1" s="1"/>
  <c r="AK67" i="1"/>
  <c r="AO67" i="1"/>
  <c r="BH67" i="1" s="1"/>
  <c r="AP67" i="1"/>
  <c r="J67" i="1" s="1"/>
  <c r="J66" i="1" s="1"/>
  <c r="BD67" i="1"/>
  <c r="BF67" i="1"/>
  <c r="BJ67" i="1"/>
  <c r="Z67" i="1" s="1"/>
  <c r="AS68" i="1"/>
  <c r="AT68" i="1"/>
  <c r="I69" i="1"/>
  <c r="K69" i="1"/>
  <c r="Z69" i="1"/>
  <c r="AB69" i="1"/>
  <c r="AC69" i="1"/>
  <c r="AF69" i="1"/>
  <c r="AG69" i="1"/>
  <c r="AH69" i="1"/>
  <c r="AJ69" i="1"/>
  <c r="AK69" i="1"/>
  <c r="AL69" i="1"/>
  <c r="AO69" i="1"/>
  <c r="AP69" i="1"/>
  <c r="AW69" i="1"/>
  <c r="BD69" i="1"/>
  <c r="BF69" i="1"/>
  <c r="BH69" i="1"/>
  <c r="AD69" i="1" s="1"/>
  <c r="BJ69" i="1"/>
  <c r="K70" i="1"/>
  <c r="AL70" i="1" s="1"/>
  <c r="Z70" i="1"/>
  <c r="AB70" i="1"/>
  <c r="AC70" i="1"/>
  <c r="AF70" i="1"/>
  <c r="AG70" i="1"/>
  <c r="AH70" i="1"/>
  <c r="AJ70" i="1"/>
  <c r="AK70" i="1"/>
  <c r="AO70" i="1"/>
  <c r="AP70" i="1"/>
  <c r="BD70" i="1"/>
  <c r="BF70" i="1"/>
  <c r="BJ70" i="1"/>
  <c r="J71" i="1"/>
  <c r="K71" i="1"/>
  <c r="AL71" i="1" s="1"/>
  <c r="AB71" i="1"/>
  <c r="AC71" i="1"/>
  <c r="AD71" i="1"/>
  <c r="AE71" i="1"/>
  <c r="AF71" i="1"/>
  <c r="AG71" i="1"/>
  <c r="AH71" i="1"/>
  <c r="AJ71" i="1"/>
  <c r="AK71" i="1"/>
  <c r="AO71" i="1"/>
  <c r="AP71" i="1"/>
  <c r="AX71" i="1" s="1"/>
  <c r="BD71" i="1"/>
  <c r="BF71" i="1"/>
  <c r="BI71" i="1"/>
  <c r="BJ71" i="1"/>
  <c r="Z71" i="1" s="1"/>
  <c r="I73" i="1"/>
  <c r="J73" i="1"/>
  <c r="J72" i="1" s="1"/>
  <c r="F30" i="2" s="1"/>
  <c r="K73" i="1"/>
  <c r="K72" i="1" s="1"/>
  <c r="Z73" i="1"/>
  <c r="AB73" i="1"/>
  <c r="AC73" i="1"/>
  <c r="AD73" i="1"/>
  <c r="AF73" i="1"/>
  <c r="AG73" i="1"/>
  <c r="AH73" i="1"/>
  <c r="AJ73" i="1"/>
  <c r="AK73" i="1"/>
  <c r="AL73" i="1"/>
  <c r="AU72" i="1" s="1"/>
  <c r="AO73" i="1"/>
  <c r="AW73" i="1" s="1"/>
  <c r="AP73" i="1"/>
  <c r="BI73" i="1" s="1"/>
  <c r="AE73" i="1" s="1"/>
  <c r="AX73" i="1"/>
  <c r="BD73" i="1"/>
  <c r="BF73" i="1"/>
  <c r="BH73" i="1"/>
  <c r="BJ73" i="1"/>
  <c r="I74" i="1"/>
  <c r="I72" i="1" s="1"/>
  <c r="K74" i="1"/>
  <c r="AL74" i="1" s="1"/>
  <c r="Z74" i="1"/>
  <c r="AB74" i="1"/>
  <c r="AC74" i="1"/>
  <c r="AD74" i="1"/>
  <c r="AF74" i="1"/>
  <c r="AG74" i="1"/>
  <c r="AH74" i="1"/>
  <c r="AJ74" i="1"/>
  <c r="AS72" i="1" s="1"/>
  <c r="AK74" i="1"/>
  <c r="AO74" i="1"/>
  <c r="BH74" i="1" s="1"/>
  <c r="AP74" i="1"/>
  <c r="J74" i="1" s="1"/>
  <c r="AW74" i="1"/>
  <c r="AX74" i="1"/>
  <c r="BD74" i="1"/>
  <c r="BF74" i="1"/>
  <c r="BI74" i="1"/>
  <c r="AE74" i="1" s="1"/>
  <c r="BJ74" i="1"/>
  <c r="J75" i="1"/>
  <c r="K75" i="1"/>
  <c r="AL75" i="1" s="1"/>
  <c r="AB75" i="1"/>
  <c r="AC75" i="1"/>
  <c r="AD75" i="1"/>
  <c r="AE75" i="1"/>
  <c r="AF75" i="1"/>
  <c r="AG75" i="1"/>
  <c r="AH75" i="1"/>
  <c r="AJ75" i="1"/>
  <c r="AK75" i="1"/>
  <c r="AO75" i="1"/>
  <c r="I75" i="1" s="1"/>
  <c r="AP75" i="1"/>
  <c r="AW75" i="1"/>
  <c r="BC75" i="1" s="1"/>
  <c r="AX75" i="1"/>
  <c r="BD75" i="1"/>
  <c r="BF75" i="1"/>
  <c r="BH75" i="1"/>
  <c r="BI75" i="1"/>
  <c r="BJ75" i="1"/>
  <c r="Z75" i="1" s="1"/>
  <c r="AT76" i="1"/>
  <c r="I77" i="1"/>
  <c r="K77" i="1"/>
  <c r="Z77" i="1"/>
  <c r="AB77" i="1"/>
  <c r="AC77" i="1"/>
  <c r="AF77" i="1"/>
  <c r="AG77" i="1"/>
  <c r="AH77" i="1"/>
  <c r="AJ77" i="1"/>
  <c r="AK77" i="1"/>
  <c r="AL77" i="1"/>
  <c r="AO77" i="1"/>
  <c r="AW77" i="1" s="1"/>
  <c r="AP77" i="1"/>
  <c r="BD77" i="1"/>
  <c r="BF77" i="1"/>
  <c r="BH77" i="1"/>
  <c r="AD77" i="1" s="1"/>
  <c r="BJ77" i="1"/>
  <c r="K78" i="1"/>
  <c r="AL78" i="1" s="1"/>
  <c r="Z78" i="1"/>
  <c r="AB78" i="1"/>
  <c r="AC78" i="1"/>
  <c r="AF78" i="1"/>
  <c r="AG78" i="1"/>
  <c r="AH78" i="1"/>
  <c r="AJ78" i="1"/>
  <c r="AK78" i="1"/>
  <c r="AO78" i="1"/>
  <c r="AP78" i="1"/>
  <c r="BD78" i="1"/>
  <c r="BF78" i="1"/>
  <c r="BJ78" i="1"/>
  <c r="J79" i="1"/>
  <c r="K79" i="1"/>
  <c r="AL79" i="1" s="1"/>
  <c r="Z79" i="1"/>
  <c r="AB79" i="1"/>
  <c r="AC79" i="1"/>
  <c r="AE79" i="1"/>
  <c r="AF79" i="1"/>
  <c r="AG79" i="1"/>
  <c r="AH79" i="1"/>
  <c r="AJ79" i="1"/>
  <c r="AK79" i="1"/>
  <c r="AO79" i="1"/>
  <c r="AP79" i="1"/>
  <c r="AX79" i="1"/>
  <c r="BD79" i="1"/>
  <c r="BF79" i="1"/>
  <c r="BI79" i="1"/>
  <c r="BJ79" i="1"/>
  <c r="I80" i="1"/>
  <c r="J80" i="1"/>
  <c r="K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W80" i="1" s="1"/>
  <c r="AV80" i="1" s="1"/>
  <c r="AP80" i="1"/>
  <c r="BI80" i="1" s="1"/>
  <c r="AX80" i="1"/>
  <c r="BD80" i="1"/>
  <c r="BF80" i="1"/>
  <c r="BH80" i="1"/>
  <c r="BJ80" i="1"/>
  <c r="I81" i="1"/>
  <c r="K81" i="1"/>
  <c r="Z81" i="1"/>
  <c r="AB81" i="1"/>
  <c r="AC81" i="1"/>
  <c r="AD81" i="1"/>
  <c r="AF81" i="1"/>
  <c r="AG81" i="1"/>
  <c r="AH81" i="1"/>
  <c r="AJ81" i="1"/>
  <c r="AS76" i="1" s="1"/>
  <c r="AK81" i="1"/>
  <c r="AL81" i="1"/>
  <c r="AO81" i="1"/>
  <c r="AP81" i="1"/>
  <c r="J81" i="1" s="1"/>
  <c r="AW81" i="1"/>
  <c r="AX81" i="1"/>
  <c r="BD81" i="1"/>
  <c r="BF81" i="1"/>
  <c r="BH81" i="1"/>
  <c r="BI81" i="1"/>
  <c r="AE81" i="1" s="1"/>
  <c r="BJ81" i="1"/>
  <c r="K82" i="1"/>
  <c r="AL82" i="1" s="1"/>
  <c r="Z82" i="1"/>
  <c r="AB82" i="1"/>
  <c r="AC82" i="1"/>
  <c r="AF82" i="1"/>
  <c r="AG82" i="1"/>
  <c r="AH82" i="1"/>
  <c r="AJ82" i="1"/>
  <c r="AK82" i="1"/>
  <c r="AO82" i="1"/>
  <c r="I82" i="1" s="1"/>
  <c r="AP82" i="1"/>
  <c r="J82" i="1" s="1"/>
  <c r="AW82" i="1"/>
  <c r="AX82" i="1"/>
  <c r="BD82" i="1"/>
  <c r="BF82" i="1"/>
  <c r="BH82" i="1"/>
  <c r="AD82" i="1" s="1"/>
  <c r="BI82" i="1"/>
  <c r="AE82" i="1" s="1"/>
  <c r="BJ82" i="1"/>
  <c r="K83" i="1"/>
  <c r="Z83" i="1"/>
  <c r="AB83" i="1"/>
  <c r="AC83" i="1"/>
  <c r="AF83" i="1"/>
  <c r="AG83" i="1"/>
  <c r="AH83" i="1"/>
  <c r="AJ83" i="1"/>
  <c r="AK83" i="1"/>
  <c r="AL83" i="1"/>
  <c r="AO83" i="1"/>
  <c r="I83" i="1" s="1"/>
  <c r="AP83" i="1"/>
  <c r="AW83" i="1"/>
  <c r="BD83" i="1"/>
  <c r="BF83" i="1"/>
  <c r="BH83" i="1"/>
  <c r="AD83" i="1" s="1"/>
  <c r="BJ83" i="1"/>
  <c r="I86" i="1"/>
  <c r="I85" i="1" s="1"/>
  <c r="K86" i="1"/>
  <c r="K85" i="1" s="1"/>
  <c r="Z86" i="1"/>
  <c r="AC86" i="1"/>
  <c r="AD86" i="1"/>
  <c r="AE86" i="1"/>
  <c r="AF86" i="1"/>
  <c r="AG86" i="1"/>
  <c r="AH86" i="1"/>
  <c r="AJ86" i="1"/>
  <c r="AS85" i="1" s="1"/>
  <c r="AK86" i="1"/>
  <c r="AT85" i="1" s="1"/>
  <c r="AL86" i="1"/>
  <c r="AO86" i="1"/>
  <c r="AP86" i="1"/>
  <c r="J86" i="1" s="1"/>
  <c r="AW86" i="1"/>
  <c r="AX86" i="1"/>
  <c r="BD86" i="1"/>
  <c r="BF86" i="1"/>
  <c r="BH86" i="1"/>
  <c r="AB86" i="1" s="1"/>
  <c r="BI86" i="1"/>
  <c r="BJ86" i="1"/>
  <c r="K87" i="1"/>
  <c r="AL87" i="1" s="1"/>
  <c r="AU85" i="1" s="1"/>
  <c r="Z87" i="1"/>
  <c r="AC87" i="1"/>
  <c r="AD87" i="1"/>
  <c r="AE87" i="1"/>
  <c r="AF87" i="1"/>
  <c r="AG87" i="1"/>
  <c r="AH87" i="1"/>
  <c r="AJ87" i="1"/>
  <c r="AK87" i="1"/>
  <c r="AO87" i="1"/>
  <c r="I87" i="1" s="1"/>
  <c r="AP87" i="1"/>
  <c r="J87" i="1" s="1"/>
  <c r="AW87" i="1"/>
  <c r="BC87" i="1" s="1"/>
  <c r="AX87" i="1"/>
  <c r="BD87" i="1"/>
  <c r="BF87" i="1"/>
  <c r="BH87" i="1"/>
  <c r="AB87" i="1" s="1"/>
  <c r="BI87" i="1"/>
  <c r="BJ87" i="1"/>
  <c r="AS88" i="1"/>
  <c r="AT88" i="1"/>
  <c r="K89" i="1"/>
  <c r="K88" i="1" s="1"/>
  <c r="Z89" i="1"/>
  <c r="AD89" i="1"/>
  <c r="AE89" i="1"/>
  <c r="AF89" i="1"/>
  <c r="AG89" i="1"/>
  <c r="AH89" i="1"/>
  <c r="AJ89" i="1"/>
  <c r="AK89" i="1"/>
  <c r="AL89" i="1"/>
  <c r="AU88" i="1" s="1"/>
  <c r="AO89" i="1"/>
  <c r="I89" i="1" s="1"/>
  <c r="I88" i="1" s="1"/>
  <c r="AP89" i="1"/>
  <c r="AW89" i="1"/>
  <c r="BD89" i="1"/>
  <c r="BF89" i="1"/>
  <c r="BH89" i="1"/>
  <c r="AB89" i="1" s="1"/>
  <c r="BJ89" i="1"/>
  <c r="K91" i="1"/>
  <c r="AL91" i="1" s="1"/>
  <c r="Z91" i="1"/>
  <c r="AD91" i="1"/>
  <c r="AE91" i="1"/>
  <c r="AF91" i="1"/>
  <c r="AG91" i="1"/>
  <c r="AH91" i="1"/>
  <c r="AJ91" i="1"/>
  <c r="AK91" i="1"/>
  <c r="AO91" i="1"/>
  <c r="AP91" i="1"/>
  <c r="BD91" i="1"/>
  <c r="BF91" i="1"/>
  <c r="BJ91" i="1"/>
  <c r="J92" i="1"/>
  <c r="K92" i="1"/>
  <c r="Z92" i="1"/>
  <c r="AD92" i="1"/>
  <c r="AE92" i="1"/>
  <c r="AF92" i="1"/>
  <c r="AG92" i="1"/>
  <c r="AH92" i="1"/>
  <c r="AJ92" i="1"/>
  <c r="AK92" i="1"/>
  <c r="AO92" i="1"/>
  <c r="AP92" i="1"/>
  <c r="AX92" i="1" s="1"/>
  <c r="BD92" i="1"/>
  <c r="BF92" i="1"/>
  <c r="BI92" i="1"/>
  <c r="AC92" i="1" s="1"/>
  <c r="BJ92" i="1"/>
  <c r="I93" i="1"/>
  <c r="J93" i="1"/>
  <c r="K93" i="1"/>
  <c r="Z93" i="1"/>
  <c r="AD93" i="1"/>
  <c r="AE93" i="1"/>
  <c r="AF93" i="1"/>
  <c r="AG93" i="1"/>
  <c r="AH93" i="1"/>
  <c r="AJ93" i="1"/>
  <c r="AK93" i="1"/>
  <c r="AL93" i="1"/>
  <c r="AO93" i="1"/>
  <c r="AW93" i="1" s="1"/>
  <c r="AP93" i="1"/>
  <c r="BI93" i="1" s="1"/>
  <c r="AC93" i="1" s="1"/>
  <c r="AX93" i="1"/>
  <c r="BD93" i="1"/>
  <c r="BF93" i="1"/>
  <c r="BH93" i="1"/>
  <c r="AB93" i="1" s="1"/>
  <c r="BJ93" i="1"/>
  <c r="I94" i="1"/>
  <c r="K94" i="1"/>
  <c r="Z94" i="1"/>
  <c r="AD94" i="1"/>
  <c r="AE94" i="1"/>
  <c r="AF94" i="1"/>
  <c r="AG94" i="1"/>
  <c r="AH94" i="1"/>
  <c r="AJ94" i="1"/>
  <c r="AS90" i="1" s="1"/>
  <c r="AK94" i="1"/>
  <c r="AL94" i="1"/>
  <c r="AO94" i="1"/>
  <c r="BH94" i="1" s="1"/>
  <c r="AB94" i="1" s="1"/>
  <c r="AP94" i="1"/>
  <c r="J94" i="1" s="1"/>
  <c r="AW94" i="1"/>
  <c r="AX94" i="1"/>
  <c r="BD94" i="1"/>
  <c r="BF94" i="1"/>
  <c r="BI94" i="1"/>
  <c r="AC94" i="1" s="1"/>
  <c r="BJ94" i="1"/>
  <c r="AT95" i="1"/>
  <c r="J96" i="1"/>
  <c r="K96" i="1"/>
  <c r="AL96" i="1" s="1"/>
  <c r="AU95" i="1" s="1"/>
  <c r="Z96" i="1"/>
  <c r="AD96" i="1"/>
  <c r="AE96" i="1"/>
  <c r="AF96" i="1"/>
  <c r="AG96" i="1"/>
  <c r="AH96" i="1"/>
  <c r="AJ96" i="1"/>
  <c r="AS95" i="1" s="1"/>
  <c r="AK96" i="1"/>
  <c r="AO96" i="1"/>
  <c r="I96" i="1" s="1"/>
  <c r="I95" i="1" s="1"/>
  <c r="AP96" i="1"/>
  <c r="AV96" i="1"/>
  <c r="AW96" i="1"/>
  <c r="BC96" i="1" s="1"/>
  <c r="AX96" i="1"/>
  <c r="BD96" i="1"/>
  <c r="BF96" i="1"/>
  <c r="BH96" i="1"/>
  <c r="AB96" i="1" s="1"/>
  <c r="BI96" i="1"/>
  <c r="AC96" i="1" s="1"/>
  <c r="BJ96" i="1"/>
  <c r="I97" i="1"/>
  <c r="K97" i="1"/>
  <c r="Z97" i="1"/>
  <c r="AB97" i="1"/>
  <c r="AD97" i="1"/>
  <c r="AE97" i="1"/>
  <c r="AF97" i="1"/>
  <c r="AG97" i="1"/>
  <c r="AH97" i="1"/>
  <c r="AJ97" i="1"/>
  <c r="AK97" i="1"/>
  <c r="AL97" i="1"/>
  <c r="AO97" i="1"/>
  <c r="AP97" i="1"/>
  <c r="AW97" i="1"/>
  <c r="BD97" i="1"/>
  <c r="BF97" i="1"/>
  <c r="BH97" i="1"/>
  <c r="BJ97" i="1"/>
  <c r="AS98" i="1"/>
  <c r="K99" i="1"/>
  <c r="AL99" i="1" s="1"/>
  <c r="Z99" i="1"/>
  <c r="AD99" i="1"/>
  <c r="AE99" i="1"/>
  <c r="AF99" i="1"/>
  <c r="AG99" i="1"/>
  <c r="AH99" i="1"/>
  <c r="AJ99" i="1"/>
  <c r="AK99" i="1"/>
  <c r="AO99" i="1"/>
  <c r="AP99" i="1"/>
  <c r="BD99" i="1"/>
  <c r="BF99" i="1"/>
  <c r="BJ99" i="1"/>
  <c r="K100" i="1"/>
  <c r="Z100" i="1"/>
  <c r="AD100" i="1"/>
  <c r="AE100" i="1"/>
  <c r="AF100" i="1"/>
  <c r="AG100" i="1"/>
  <c r="AH100" i="1"/>
  <c r="AJ100" i="1"/>
  <c r="AK100" i="1"/>
  <c r="AL100" i="1"/>
  <c r="AO100" i="1"/>
  <c r="I100" i="1" s="1"/>
  <c r="AP100" i="1"/>
  <c r="AX100" i="1" s="1"/>
  <c r="AW100" i="1"/>
  <c r="AV100" i="1" s="1"/>
  <c r="BD100" i="1"/>
  <c r="BF100" i="1"/>
  <c r="BH100" i="1"/>
  <c r="AB100" i="1" s="1"/>
  <c r="BI100" i="1"/>
  <c r="AC100" i="1" s="1"/>
  <c r="BJ100" i="1"/>
  <c r="J101" i="1"/>
  <c r="K101" i="1"/>
  <c r="AL101" i="1" s="1"/>
  <c r="Z101" i="1"/>
  <c r="AD101" i="1"/>
  <c r="AE101" i="1"/>
  <c r="AF101" i="1"/>
  <c r="AG101" i="1"/>
  <c r="AH101" i="1"/>
  <c r="AJ101" i="1"/>
  <c r="AK101" i="1"/>
  <c r="AO101" i="1"/>
  <c r="AP101" i="1"/>
  <c r="BI101" i="1" s="1"/>
  <c r="AC101" i="1" s="1"/>
  <c r="BD101" i="1"/>
  <c r="BF101" i="1"/>
  <c r="BJ101" i="1"/>
  <c r="J102" i="1"/>
  <c r="K102" i="1"/>
  <c r="Z102" i="1"/>
  <c r="AD102" i="1"/>
  <c r="AE102" i="1"/>
  <c r="AF102" i="1"/>
  <c r="AG102" i="1"/>
  <c r="AH102" i="1"/>
  <c r="AJ102" i="1"/>
  <c r="AK102" i="1"/>
  <c r="AL102" i="1"/>
  <c r="AO102" i="1"/>
  <c r="I102" i="1" s="1"/>
  <c r="AP102" i="1"/>
  <c r="AX102" i="1" s="1"/>
  <c r="AV102" i="1" s="1"/>
  <c r="AW102" i="1"/>
  <c r="BD102" i="1"/>
  <c r="BF102" i="1"/>
  <c r="BH102" i="1"/>
  <c r="AB102" i="1" s="1"/>
  <c r="BI102" i="1"/>
  <c r="AC102" i="1" s="1"/>
  <c r="BJ102" i="1"/>
  <c r="K103" i="1"/>
  <c r="Z103" i="1"/>
  <c r="AD103" i="1"/>
  <c r="AE103" i="1"/>
  <c r="AF103" i="1"/>
  <c r="AG103" i="1"/>
  <c r="AH103" i="1"/>
  <c r="AJ103" i="1"/>
  <c r="AK103" i="1"/>
  <c r="AL103" i="1"/>
  <c r="AO103" i="1"/>
  <c r="AW103" i="1" s="1"/>
  <c r="AP103" i="1"/>
  <c r="BD103" i="1"/>
  <c r="BF103" i="1"/>
  <c r="BH103" i="1"/>
  <c r="AB103" i="1" s="1"/>
  <c r="BJ103" i="1"/>
  <c r="K104" i="1"/>
  <c r="AL104" i="1" s="1"/>
  <c r="Z104" i="1"/>
  <c r="AD104" i="1"/>
  <c r="AE104" i="1"/>
  <c r="AF104" i="1"/>
  <c r="AG104" i="1"/>
  <c r="AH104" i="1"/>
  <c r="AJ104" i="1"/>
  <c r="AK104" i="1"/>
  <c r="AO104" i="1"/>
  <c r="AP104" i="1"/>
  <c r="BI104" i="1" s="1"/>
  <c r="AC104" i="1" s="1"/>
  <c r="BD104" i="1"/>
  <c r="BF104" i="1"/>
  <c r="BJ104" i="1"/>
  <c r="J105" i="1"/>
  <c r="K105" i="1"/>
  <c r="Z105" i="1"/>
  <c r="AD105" i="1"/>
  <c r="AE105" i="1"/>
  <c r="AF105" i="1"/>
  <c r="AG105" i="1"/>
  <c r="AH105" i="1"/>
  <c r="AJ105" i="1"/>
  <c r="AK105" i="1"/>
  <c r="AL105" i="1"/>
  <c r="AO105" i="1"/>
  <c r="BH105" i="1" s="1"/>
  <c r="AB105" i="1" s="1"/>
  <c r="AP105" i="1"/>
  <c r="AX105" i="1"/>
  <c r="BD105" i="1"/>
  <c r="BF105" i="1"/>
  <c r="BI105" i="1"/>
  <c r="AC105" i="1" s="1"/>
  <c r="BJ105" i="1"/>
  <c r="I107" i="1"/>
  <c r="J107" i="1"/>
  <c r="K107" i="1"/>
  <c r="K106" i="1" s="1"/>
  <c r="G38" i="2" s="1"/>
  <c r="Z107" i="1"/>
  <c r="AD107" i="1"/>
  <c r="AE107" i="1"/>
  <c r="AF107" i="1"/>
  <c r="AG107" i="1"/>
  <c r="AH107" i="1"/>
  <c r="AJ107" i="1"/>
  <c r="AS106" i="1" s="1"/>
  <c r="AK107" i="1"/>
  <c r="AT106" i="1" s="1"/>
  <c r="AL107" i="1"/>
  <c r="AO107" i="1"/>
  <c r="AP107" i="1"/>
  <c r="AW107" i="1"/>
  <c r="AX107" i="1"/>
  <c r="BD107" i="1"/>
  <c r="BF107" i="1"/>
  <c r="BH107" i="1"/>
  <c r="AB107" i="1" s="1"/>
  <c r="BI107" i="1"/>
  <c r="AC107" i="1" s="1"/>
  <c r="BJ107" i="1"/>
  <c r="I108" i="1"/>
  <c r="K108" i="1"/>
  <c r="AL108" i="1" s="1"/>
  <c r="Z108" i="1"/>
  <c r="AD108" i="1"/>
  <c r="AE108" i="1"/>
  <c r="AF108" i="1"/>
  <c r="AG108" i="1"/>
  <c r="AH108" i="1"/>
  <c r="AJ108" i="1"/>
  <c r="AK108" i="1"/>
  <c r="AO108" i="1"/>
  <c r="AP108" i="1"/>
  <c r="J108" i="1" s="1"/>
  <c r="AW108" i="1"/>
  <c r="AX108" i="1"/>
  <c r="BD108" i="1"/>
  <c r="BF108" i="1"/>
  <c r="BH108" i="1"/>
  <c r="AB108" i="1" s="1"/>
  <c r="BI108" i="1"/>
  <c r="AC108" i="1" s="1"/>
  <c r="BJ108" i="1"/>
  <c r="K109" i="1"/>
  <c r="AL109" i="1" s="1"/>
  <c r="Z109" i="1"/>
  <c r="AB109" i="1"/>
  <c r="AD109" i="1"/>
  <c r="AE109" i="1"/>
  <c r="AF109" i="1"/>
  <c r="AG109" i="1"/>
  <c r="AH109" i="1"/>
  <c r="AJ109" i="1"/>
  <c r="AK109" i="1"/>
  <c r="AO109" i="1"/>
  <c r="I109" i="1" s="1"/>
  <c r="AP109" i="1"/>
  <c r="AX109" i="1" s="1"/>
  <c r="AV109" i="1" s="1"/>
  <c r="AW109" i="1"/>
  <c r="BD109" i="1"/>
  <c r="BF109" i="1"/>
  <c r="BH109" i="1"/>
  <c r="BI109" i="1"/>
  <c r="AC109" i="1" s="1"/>
  <c r="BJ109" i="1"/>
  <c r="K110" i="1"/>
  <c r="Z110" i="1"/>
  <c r="AD110" i="1"/>
  <c r="AE110" i="1"/>
  <c r="AF110" i="1"/>
  <c r="AG110" i="1"/>
  <c r="AH110" i="1"/>
  <c r="AJ110" i="1"/>
  <c r="AK110" i="1"/>
  <c r="AL110" i="1"/>
  <c r="AO110" i="1"/>
  <c r="AW110" i="1" s="1"/>
  <c r="AP110" i="1"/>
  <c r="BD110" i="1"/>
  <c r="BF110" i="1"/>
  <c r="BH110" i="1"/>
  <c r="AB110" i="1" s="1"/>
  <c r="BJ110" i="1"/>
  <c r="K111" i="1"/>
  <c r="AL111" i="1" s="1"/>
  <c r="Z111" i="1"/>
  <c r="AD111" i="1"/>
  <c r="AE111" i="1"/>
  <c r="AF111" i="1"/>
  <c r="AG111" i="1"/>
  <c r="AH111" i="1"/>
  <c r="AJ111" i="1"/>
  <c r="AK111" i="1"/>
  <c r="AO111" i="1"/>
  <c r="AP111" i="1"/>
  <c r="BI111" i="1" s="1"/>
  <c r="AC111" i="1" s="1"/>
  <c r="BD111" i="1"/>
  <c r="BF111" i="1"/>
  <c r="BJ111" i="1"/>
  <c r="J112" i="1"/>
  <c r="K112" i="1"/>
  <c r="Z112" i="1"/>
  <c r="AD112" i="1"/>
  <c r="AE112" i="1"/>
  <c r="AF112" i="1"/>
  <c r="AG112" i="1"/>
  <c r="AH112" i="1"/>
  <c r="AJ112" i="1"/>
  <c r="AK112" i="1"/>
  <c r="AL112" i="1"/>
  <c r="AO112" i="1"/>
  <c r="BH112" i="1" s="1"/>
  <c r="AB112" i="1" s="1"/>
  <c r="AP112" i="1"/>
  <c r="AX112" i="1"/>
  <c r="BD112" i="1"/>
  <c r="BF112" i="1"/>
  <c r="BI112" i="1"/>
  <c r="AC112" i="1" s="1"/>
  <c r="BJ112" i="1"/>
  <c r="I113" i="1"/>
  <c r="J113" i="1"/>
  <c r="K113" i="1"/>
  <c r="Z113" i="1"/>
  <c r="AD113" i="1"/>
  <c r="AE113" i="1"/>
  <c r="AF113" i="1"/>
  <c r="AG113" i="1"/>
  <c r="AH113" i="1"/>
  <c r="AJ113" i="1"/>
  <c r="AK113" i="1"/>
  <c r="AL113" i="1"/>
  <c r="AO113" i="1"/>
  <c r="AP113" i="1"/>
  <c r="AW113" i="1"/>
  <c r="AX113" i="1"/>
  <c r="BD113" i="1"/>
  <c r="BF113" i="1"/>
  <c r="BH113" i="1"/>
  <c r="AB113" i="1" s="1"/>
  <c r="BI113" i="1"/>
  <c r="AC113" i="1" s="1"/>
  <c r="BJ113" i="1"/>
  <c r="AU114" i="1"/>
  <c r="I115" i="1"/>
  <c r="I114" i="1" s="1"/>
  <c r="K115" i="1"/>
  <c r="AL115" i="1" s="1"/>
  <c r="Z115" i="1"/>
  <c r="AC115" i="1"/>
  <c r="AD115" i="1"/>
  <c r="AE115" i="1"/>
  <c r="AF115" i="1"/>
  <c r="AG115" i="1"/>
  <c r="AH115" i="1"/>
  <c r="AJ115" i="1"/>
  <c r="AS114" i="1" s="1"/>
  <c r="AK115" i="1"/>
  <c r="AT114" i="1" s="1"/>
  <c r="AO115" i="1"/>
  <c r="AP115" i="1"/>
  <c r="J115" i="1" s="1"/>
  <c r="J114" i="1" s="1"/>
  <c r="AW115" i="1"/>
  <c r="AX115" i="1"/>
  <c r="BD115" i="1"/>
  <c r="BF115" i="1"/>
  <c r="BH115" i="1"/>
  <c r="AB115" i="1" s="1"/>
  <c r="BI115" i="1"/>
  <c r="BJ115" i="1"/>
  <c r="AT116" i="1"/>
  <c r="K117" i="1"/>
  <c r="AL117" i="1" s="1"/>
  <c r="AU116" i="1" s="1"/>
  <c r="Z117" i="1"/>
  <c r="AB117" i="1"/>
  <c r="AD117" i="1"/>
  <c r="AE117" i="1"/>
  <c r="AF117" i="1"/>
  <c r="AG117" i="1"/>
  <c r="AH117" i="1"/>
  <c r="AJ117" i="1"/>
  <c r="AS116" i="1" s="1"/>
  <c r="AK117" i="1"/>
  <c r="AO117" i="1"/>
  <c r="I117" i="1" s="1"/>
  <c r="I116" i="1" s="1"/>
  <c r="AP117" i="1"/>
  <c r="AX117" i="1" s="1"/>
  <c r="AV117" i="1"/>
  <c r="AW117" i="1"/>
  <c r="BD117" i="1"/>
  <c r="BF117" i="1"/>
  <c r="BH117" i="1"/>
  <c r="BI117" i="1"/>
  <c r="AC117" i="1" s="1"/>
  <c r="BJ117" i="1"/>
  <c r="AS118" i="1"/>
  <c r="AT118" i="1"/>
  <c r="K119" i="1"/>
  <c r="Z119" i="1"/>
  <c r="AD119" i="1"/>
  <c r="AE119" i="1"/>
  <c r="AF119" i="1"/>
  <c r="AG119" i="1"/>
  <c r="AH119" i="1"/>
  <c r="AJ119" i="1"/>
  <c r="AK119" i="1"/>
  <c r="AL119" i="1"/>
  <c r="AU118" i="1" s="1"/>
  <c r="AO119" i="1"/>
  <c r="AW119" i="1" s="1"/>
  <c r="AP119" i="1"/>
  <c r="BD119" i="1"/>
  <c r="BF119" i="1"/>
  <c r="BH119" i="1"/>
  <c r="AB119" i="1" s="1"/>
  <c r="BJ119" i="1"/>
  <c r="K120" i="1"/>
  <c r="AL120" i="1" s="1"/>
  <c r="Z120" i="1"/>
  <c r="AD120" i="1"/>
  <c r="AE120" i="1"/>
  <c r="AF120" i="1"/>
  <c r="AG120" i="1"/>
  <c r="AH120" i="1"/>
  <c r="AJ120" i="1"/>
  <c r="AK120" i="1"/>
  <c r="AO120" i="1"/>
  <c r="AP120" i="1"/>
  <c r="BI120" i="1" s="1"/>
  <c r="AC120" i="1" s="1"/>
  <c r="BD120" i="1"/>
  <c r="BF120" i="1"/>
  <c r="BJ120" i="1"/>
  <c r="J121" i="1"/>
  <c r="K121" i="1"/>
  <c r="Z121" i="1"/>
  <c r="AD121" i="1"/>
  <c r="AE121" i="1"/>
  <c r="AF121" i="1"/>
  <c r="AG121" i="1"/>
  <c r="AH121" i="1"/>
  <c r="AJ121" i="1"/>
  <c r="AK121" i="1"/>
  <c r="AL121" i="1"/>
  <c r="AO121" i="1"/>
  <c r="BH121" i="1" s="1"/>
  <c r="AB121" i="1" s="1"/>
  <c r="AP121" i="1"/>
  <c r="AX121" i="1"/>
  <c r="BD121" i="1"/>
  <c r="BF121" i="1"/>
  <c r="BI121" i="1"/>
  <c r="AC121" i="1" s="1"/>
  <c r="BJ121" i="1"/>
  <c r="I123" i="1"/>
  <c r="J123" i="1"/>
  <c r="K123" i="1"/>
  <c r="K122" i="1" s="1"/>
  <c r="Z123" i="1"/>
  <c r="AD123" i="1"/>
  <c r="AE123" i="1"/>
  <c r="AF123" i="1"/>
  <c r="AG123" i="1"/>
  <c r="AH123" i="1"/>
  <c r="AJ123" i="1"/>
  <c r="AK123" i="1"/>
  <c r="AT122" i="1" s="1"/>
  <c r="AL123" i="1"/>
  <c r="AO123" i="1"/>
  <c r="AP123" i="1"/>
  <c r="AW123" i="1"/>
  <c r="AX123" i="1"/>
  <c r="BD123" i="1"/>
  <c r="BF123" i="1"/>
  <c r="BH123" i="1"/>
  <c r="AB123" i="1" s="1"/>
  <c r="BI123" i="1"/>
  <c r="AC123" i="1" s="1"/>
  <c r="BJ123" i="1"/>
  <c r="I124" i="1"/>
  <c r="K124" i="1"/>
  <c r="AL124" i="1" s="1"/>
  <c r="Z124" i="1"/>
  <c r="AC124" i="1"/>
  <c r="AD124" i="1"/>
  <c r="AE124" i="1"/>
  <c r="AF124" i="1"/>
  <c r="AG124" i="1"/>
  <c r="AH124" i="1"/>
  <c r="AJ124" i="1"/>
  <c r="AK124" i="1"/>
  <c r="AO124" i="1"/>
  <c r="AP124" i="1"/>
  <c r="J124" i="1" s="1"/>
  <c r="AW124" i="1"/>
  <c r="AX124" i="1"/>
  <c r="BD124" i="1"/>
  <c r="BF124" i="1"/>
  <c r="BH124" i="1"/>
  <c r="AB124" i="1" s="1"/>
  <c r="BI124" i="1"/>
  <c r="BJ124" i="1"/>
  <c r="K125" i="1"/>
  <c r="AL125" i="1" s="1"/>
  <c r="Z125" i="1"/>
  <c r="AB125" i="1"/>
  <c r="AD125" i="1"/>
  <c r="AE125" i="1"/>
  <c r="AF125" i="1"/>
  <c r="AG125" i="1"/>
  <c r="AH125" i="1"/>
  <c r="AJ125" i="1"/>
  <c r="AK125" i="1"/>
  <c r="AO125" i="1"/>
  <c r="I125" i="1" s="1"/>
  <c r="AP125" i="1"/>
  <c r="AX125" i="1" s="1"/>
  <c r="AV125" i="1"/>
  <c r="AW125" i="1"/>
  <c r="BC125" i="1" s="1"/>
  <c r="BD125" i="1"/>
  <c r="BF125" i="1"/>
  <c r="BH125" i="1"/>
  <c r="BI125" i="1"/>
  <c r="AC125" i="1" s="1"/>
  <c r="BJ125" i="1"/>
  <c r="K126" i="1"/>
  <c r="Z126" i="1"/>
  <c r="AD126" i="1"/>
  <c r="AE126" i="1"/>
  <c r="AF126" i="1"/>
  <c r="AG126" i="1"/>
  <c r="AH126" i="1"/>
  <c r="AJ126" i="1"/>
  <c r="AK126" i="1"/>
  <c r="AL126" i="1"/>
  <c r="AO126" i="1"/>
  <c r="AW126" i="1" s="1"/>
  <c r="AP126" i="1"/>
  <c r="BD126" i="1"/>
  <c r="BF126" i="1"/>
  <c r="BH126" i="1"/>
  <c r="AB126" i="1" s="1"/>
  <c r="BJ126" i="1"/>
  <c r="K127" i="1"/>
  <c r="AL127" i="1" s="1"/>
  <c r="Z127" i="1"/>
  <c r="AD127" i="1"/>
  <c r="AE127" i="1"/>
  <c r="AF127" i="1"/>
  <c r="AG127" i="1"/>
  <c r="AH127" i="1"/>
  <c r="AJ127" i="1"/>
  <c r="AK127" i="1"/>
  <c r="AO127" i="1"/>
  <c r="AP127" i="1"/>
  <c r="BI127" i="1" s="1"/>
  <c r="AC127" i="1" s="1"/>
  <c r="BD127" i="1"/>
  <c r="BF127" i="1"/>
  <c r="BJ127" i="1"/>
  <c r="J129" i="1"/>
  <c r="K129" i="1"/>
  <c r="K128" i="1" s="1"/>
  <c r="Z129" i="1"/>
  <c r="AD129" i="1"/>
  <c r="AE129" i="1"/>
  <c r="AF129" i="1"/>
  <c r="AG129" i="1"/>
  <c r="AH129" i="1"/>
  <c r="AJ129" i="1"/>
  <c r="AS128" i="1" s="1"/>
  <c r="AK129" i="1"/>
  <c r="AL129" i="1"/>
  <c r="AO129" i="1"/>
  <c r="BH129" i="1" s="1"/>
  <c r="AB129" i="1" s="1"/>
  <c r="AP129" i="1"/>
  <c r="AX129" i="1"/>
  <c r="BD129" i="1"/>
  <c r="BF129" i="1"/>
  <c r="BI129" i="1"/>
  <c r="AC129" i="1" s="1"/>
  <c r="BJ129" i="1"/>
  <c r="I130" i="1"/>
  <c r="J130" i="1"/>
  <c r="K130" i="1"/>
  <c r="Z130" i="1"/>
  <c r="AD130" i="1"/>
  <c r="AE130" i="1"/>
  <c r="AF130" i="1"/>
  <c r="AG130" i="1"/>
  <c r="AH130" i="1"/>
  <c r="AJ130" i="1"/>
  <c r="AK130" i="1"/>
  <c r="AL130" i="1"/>
  <c r="AO130" i="1"/>
  <c r="AP130" i="1"/>
  <c r="AW130" i="1"/>
  <c r="AX130" i="1"/>
  <c r="BD130" i="1"/>
  <c r="BF130" i="1"/>
  <c r="BH130" i="1"/>
  <c r="AB130" i="1" s="1"/>
  <c r="BI130" i="1"/>
  <c r="AC130" i="1" s="1"/>
  <c r="BJ130" i="1"/>
  <c r="I131" i="1"/>
  <c r="K131" i="1"/>
  <c r="AL131" i="1" s="1"/>
  <c r="Z131" i="1"/>
  <c r="AC131" i="1"/>
  <c r="AD131" i="1"/>
  <c r="AE131" i="1"/>
  <c r="AF131" i="1"/>
  <c r="AG131" i="1"/>
  <c r="AH131" i="1"/>
  <c r="AJ131" i="1"/>
  <c r="AK131" i="1"/>
  <c r="AO131" i="1"/>
  <c r="AP131" i="1"/>
  <c r="J131" i="1" s="1"/>
  <c r="AW131" i="1"/>
  <c r="AX131" i="1"/>
  <c r="BD131" i="1"/>
  <c r="BF131" i="1"/>
  <c r="BH131" i="1"/>
  <c r="AB131" i="1" s="1"/>
  <c r="BI131" i="1"/>
  <c r="BJ131" i="1"/>
  <c r="K132" i="1"/>
  <c r="AL132" i="1" s="1"/>
  <c r="Z132" i="1"/>
  <c r="AB132" i="1"/>
  <c r="AD132" i="1"/>
  <c r="AE132" i="1"/>
  <c r="AF132" i="1"/>
  <c r="AG132" i="1"/>
  <c r="AH132" i="1"/>
  <c r="AJ132" i="1"/>
  <c r="AK132" i="1"/>
  <c r="AO132" i="1"/>
  <c r="I132" i="1" s="1"/>
  <c r="AP132" i="1"/>
  <c r="AX132" i="1" s="1"/>
  <c r="AV132" i="1" s="1"/>
  <c r="AW132" i="1"/>
  <c r="BD132" i="1"/>
  <c r="BF132" i="1"/>
  <c r="BH132" i="1"/>
  <c r="BI132" i="1"/>
  <c r="AC132" i="1" s="1"/>
  <c r="BJ132" i="1"/>
  <c r="AS133" i="1"/>
  <c r="AT133" i="1"/>
  <c r="K134" i="1"/>
  <c r="Z134" i="1"/>
  <c r="AD134" i="1"/>
  <c r="AE134" i="1"/>
  <c r="AF134" i="1"/>
  <c r="AG134" i="1"/>
  <c r="AH134" i="1"/>
  <c r="AJ134" i="1"/>
  <c r="AK134" i="1"/>
  <c r="AL134" i="1"/>
  <c r="AU133" i="1" s="1"/>
  <c r="AO134" i="1"/>
  <c r="AW134" i="1" s="1"/>
  <c r="AP134" i="1"/>
  <c r="BD134" i="1"/>
  <c r="BF134" i="1"/>
  <c r="BH134" i="1"/>
  <c r="AB134" i="1" s="1"/>
  <c r="BJ134" i="1"/>
  <c r="K135" i="1"/>
  <c r="AL135" i="1" s="1"/>
  <c r="Z135" i="1"/>
  <c r="AD135" i="1"/>
  <c r="AE135" i="1"/>
  <c r="AF135" i="1"/>
  <c r="AG135" i="1"/>
  <c r="AH135" i="1"/>
  <c r="AJ135" i="1"/>
  <c r="AK135" i="1"/>
  <c r="AO135" i="1"/>
  <c r="AP135" i="1"/>
  <c r="BI135" i="1" s="1"/>
  <c r="AC135" i="1" s="1"/>
  <c r="BD135" i="1"/>
  <c r="BF135" i="1"/>
  <c r="BJ135" i="1"/>
  <c r="J137" i="1"/>
  <c r="K137" i="1"/>
  <c r="K136" i="1" s="1"/>
  <c r="Z137" i="1"/>
  <c r="AD137" i="1"/>
  <c r="AE137" i="1"/>
  <c r="AF137" i="1"/>
  <c r="AG137" i="1"/>
  <c r="AH137" i="1"/>
  <c r="AJ137" i="1"/>
  <c r="AS136" i="1" s="1"/>
  <c r="AK137" i="1"/>
  <c r="AT136" i="1" s="1"/>
  <c r="AL137" i="1"/>
  <c r="AU136" i="1" s="1"/>
  <c r="AO137" i="1"/>
  <c r="BH137" i="1" s="1"/>
  <c r="AB137" i="1" s="1"/>
  <c r="AP137" i="1"/>
  <c r="AX137" i="1"/>
  <c r="BD137" i="1"/>
  <c r="BF137" i="1"/>
  <c r="BI137" i="1"/>
  <c r="AC137" i="1" s="1"/>
  <c r="BJ137" i="1"/>
  <c r="I138" i="1"/>
  <c r="J138" i="1"/>
  <c r="K138" i="1"/>
  <c r="Z138" i="1"/>
  <c r="AD138" i="1"/>
  <c r="AE138" i="1"/>
  <c r="AF138" i="1"/>
  <c r="AG138" i="1"/>
  <c r="AH138" i="1"/>
  <c r="AJ138" i="1"/>
  <c r="AK138" i="1"/>
  <c r="AL138" i="1"/>
  <c r="AO138" i="1"/>
  <c r="AP138" i="1"/>
  <c r="AW138" i="1"/>
  <c r="AX138" i="1"/>
  <c r="BD138" i="1"/>
  <c r="BF138" i="1"/>
  <c r="BH138" i="1"/>
  <c r="AB138" i="1" s="1"/>
  <c r="BI138" i="1"/>
  <c r="AC138" i="1" s="1"/>
  <c r="BJ138" i="1"/>
  <c r="I139" i="1"/>
  <c r="K139" i="1"/>
  <c r="AL139" i="1" s="1"/>
  <c r="Z139" i="1"/>
  <c r="AC139" i="1"/>
  <c r="AD139" i="1"/>
  <c r="AE139" i="1"/>
  <c r="AF139" i="1"/>
  <c r="AG139" i="1"/>
  <c r="AH139" i="1"/>
  <c r="AJ139" i="1"/>
  <c r="AK139" i="1"/>
  <c r="AO139" i="1"/>
  <c r="AP139" i="1"/>
  <c r="J139" i="1" s="1"/>
  <c r="AW139" i="1"/>
  <c r="AX139" i="1"/>
  <c r="BD139" i="1"/>
  <c r="BF139" i="1"/>
  <c r="BH139" i="1"/>
  <c r="AB139" i="1" s="1"/>
  <c r="BI139" i="1"/>
  <c r="BJ139" i="1"/>
  <c r="K140" i="1"/>
  <c r="AL140" i="1" s="1"/>
  <c r="Z140" i="1"/>
  <c r="AB140" i="1"/>
  <c r="AD140" i="1"/>
  <c r="AE140" i="1"/>
  <c r="AF140" i="1"/>
  <c r="AG140" i="1"/>
  <c r="AH140" i="1"/>
  <c r="AJ140" i="1"/>
  <c r="AK140" i="1"/>
  <c r="AO140" i="1"/>
  <c r="I140" i="1" s="1"/>
  <c r="AP140" i="1"/>
  <c r="AX140" i="1" s="1"/>
  <c r="AV140" i="1"/>
  <c r="AW140" i="1"/>
  <c r="BC140" i="1" s="1"/>
  <c r="BD140" i="1"/>
  <c r="BF140" i="1"/>
  <c r="BH140" i="1"/>
  <c r="BI140" i="1"/>
  <c r="AC140" i="1" s="1"/>
  <c r="BJ140" i="1"/>
  <c r="K141" i="1"/>
  <c r="Z141" i="1"/>
  <c r="AD141" i="1"/>
  <c r="AE141" i="1"/>
  <c r="AF141" i="1"/>
  <c r="AG141" i="1"/>
  <c r="AH141" i="1"/>
  <c r="AJ141" i="1"/>
  <c r="AK141" i="1"/>
  <c r="AL141" i="1"/>
  <c r="AO141" i="1"/>
  <c r="AW141" i="1" s="1"/>
  <c r="AP141" i="1"/>
  <c r="BD141" i="1"/>
  <c r="BF141" i="1"/>
  <c r="BH141" i="1"/>
  <c r="AB141" i="1" s="1"/>
  <c r="BJ141" i="1"/>
  <c r="K143" i="1"/>
  <c r="AL143" i="1" s="1"/>
  <c r="Z143" i="1"/>
  <c r="AD143" i="1"/>
  <c r="AE143" i="1"/>
  <c r="AF143" i="1"/>
  <c r="AG143" i="1"/>
  <c r="AH143" i="1"/>
  <c r="AJ143" i="1"/>
  <c r="AK143" i="1"/>
  <c r="AO143" i="1"/>
  <c r="AP143" i="1"/>
  <c r="BI143" i="1" s="1"/>
  <c r="AC143" i="1" s="1"/>
  <c r="BD143" i="1"/>
  <c r="BF143" i="1"/>
  <c r="BJ143" i="1"/>
  <c r="J144" i="1"/>
  <c r="K144" i="1"/>
  <c r="Z144" i="1"/>
  <c r="AD144" i="1"/>
  <c r="AE144" i="1"/>
  <c r="AF144" i="1"/>
  <c r="AG144" i="1"/>
  <c r="AH144" i="1"/>
  <c r="AJ144" i="1"/>
  <c r="AK144" i="1"/>
  <c r="AL144" i="1"/>
  <c r="AO144" i="1"/>
  <c r="BH144" i="1" s="1"/>
  <c r="AB144" i="1" s="1"/>
  <c r="AP144" i="1"/>
  <c r="AX144" i="1"/>
  <c r="BD144" i="1"/>
  <c r="BF144" i="1"/>
  <c r="BI144" i="1"/>
  <c r="AC144" i="1" s="1"/>
  <c r="BJ144" i="1"/>
  <c r="I145" i="1"/>
  <c r="J145" i="1"/>
  <c r="K145" i="1"/>
  <c r="Z145" i="1"/>
  <c r="AD145" i="1"/>
  <c r="AE145" i="1"/>
  <c r="AF145" i="1"/>
  <c r="AG145" i="1"/>
  <c r="AH145" i="1"/>
  <c r="AJ145" i="1"/>
  <c r="AK145" i="1"/>
  <c r="AL145" i="1"/>
  <c r="AO145" i="1"/>
  <c r="AP145" i="1"/>
  <c r="AW145" i="1"/>
  <c r="AX145" i="1"/>
  <c r="AV145" i="1" s="1"/>
  <c r="BC145" i="1"/>
  <c r="BD145" i="1"/>
  <c r="BF145" i="1"/>
  <c r="BH145" i="1"/>
  <c r="AB145" i="1" s="1"/>
  <c r="BI145" i="1"/>
  <c r="AC145" i="1" s="1"/>
  <c r="BJ145" i="1"/>
  <c r="I146" i="1"/>
  <c r="K146" i="1"/>
  <c r="AL146" i="1" s="1"/>
  <c r="Z146" i="1"/>
  <c r="AD146" i="1"/>
  <c r="AE146" i="1"/>
  <c r="AF146" i="1"/>
  <c r="AG146" i="1"/>
  <c r="AH146" i="1"/>
  <c r="AJ146" i="1"/>
  <c r="AS142" i="1" s="1"/>
  <c r="AK146" i="1"/>
  <c r="AO146" i="1"/>
  <c r="AP146" i="1"/>
  <c r="J146" i="1" s="1"/>
  <c r="AW146" i="1"/>
  <c r="AX146" i="1"/>
  <c r="BD146" i="1"/>
  <c r="BF146" i="1"/>
  <c r="BH146" i="1"/>
  <c r="AB146" i="1" s="1"/>
  <c r="BI146" i="1"/>
  <c r="AC146" i="1" s="1"/>
  <c r="BJ146" i="1"/>
  <c r="K148" i="1"/>
  <c r="AL148" i="1" s="1"/>
  <c r="Z148" i="1"/>
  <c r="AB148" i="1"/>
  <c r="AC148" i="1"/>
  <c r="AD148" i="1"/>
  <c r="AE148" i="1"/>
  <c r="AF148" i="1"/>
  <c r="AG148" i="1"/>
  <c r="AH148" i="1"/>
  <c r="AJ148" i="1"/>
  <c r="AK148" i="1"/>
  <c r="AO148" i="1"/>
  <c r="I148" i="1" s="1"/>
  <c r="AP148" i="1"/>
  <c r="AX148" i="1" s="1"/>
  <c r="AW148" i="1"/>
  <c r="BD148" i="1"/>
  <c r="BF148" i="1"/>
  <c r="BH148" i="1"/>
  <c r="BI148" i="1"/>
  <c r="BJ148" i="1"/>
  <c r="K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W149" i="1" s="1"/>
  <c r="AP149" i="1"/>
  <c r="BD149" i="1"/>
  <c r="BF149" i="1"/>
  <c r="BH149" i="1"/>
  <c r="BJ149" i="1"/>
  <c r="K150" i="1"/>
  <c r="AL150" i="1" s="1"/>
  <c r="Z150" i="1"/>
  <c r="AB150" i="1"/>
  <c r="AC150" i="1"/>
  <c r="AD150" i="1"/>
  <c r="AE150" i="1"/>
  <c r="AF150" i="1"/>
  <c r="AG150" i="1"/>
  <c r="AH150" i="1"/>
  <c r="AJ150" i="1"/>
  <c r="AK150" i="1"/>
  <c r="AO150" i="1"/>
  <c r="AP150" i="1"/>
  <c r="BD150" i="1"/>
  <c r="BF150" i="1"/>
  <c r="BJ150" i="1"/>
  <c r="J151" i="1"/>
  <c r="K151" i="1"/>
  <c r="AL151" i="1" s="1"/>
  <c r="AB151" i="1"/>
  <c r="AC151" i="1"/>
  <c r="AD151" i="1"/>
  <c r="AE151" i="1"/>
  <c r="AF151" i="1"/>
  <c r="AG151" i="1"/>
  <c r="AH151" i="1"/>
  <c r="AJ151" i="1"/>
  <c r="AK151" i="1"/>
  <c r="AO151" i="1"/>
  <c r="AP151" i="1"/>
  <c r="AX151" i="1"/>
  <c r="BD151" i="1"/>
  <c r="BF151" i="1"/>
  <c r="BI151" i="1"/>
  <c r="BJ151" i="1"/>
  <c r="Z151" i="1" s="1"/>
  <c r="I152" i="1"/>
  <c r="J152" i="1"/>
  <c r="K152" i="1"/>
  <c r="AB152" i="1"/>
  <c r="AC152" i="1"/>
  <c r="AD152" i="1"/>
  <c r="AE152" i="1"/>
  <c r="AF152" i="1"/>
  <c r="AG152" i="1"/>
  <c r="AH152" i="1"/>
  <c r="AJ152" i="1"/>
  <c r="AK152" i="1"/>
  <c r="AL152" i="1"/>
  <c r="AO152" i="1"/>
  <c r="AP152" i="1"/>
  <c r="BI152" i="1" s="1"/>
  <c r="AW152" i="1"/>
  <c r="AX152" i="1"/>
  <c r="AV152" i="1" s="1"/>
  <c r="BC152" i="1"/>
  <c r="BD152" i="1"/>
  <c r="BF152" i="1"/>
  <c r="BH152" i="1"/>
  <c r="BJ152" i="1"/>
  <c r="Z152" i="1" s="1"/>
  <c r="I153" i="1"/>
  <c r="K153" i="1"/>
  <c r="AL153" i="1" s="1"/>
  <c r="AB153" i="1"/>
  <c r="AC153" i="1"/>
  <c r="AD153" i="1"/>
  <c r="AE153" i="1"/>
  <c r="AF153" i="1"/>
  <c r="AG153" i="1"/>
  <c r="AH153" i="1"/>
  <c r="AJ153" i="1"/>
  <c r="AK153" i="1"/>
  <c r="AO153" i="1"/>
  <c r="AP153" i="1"/>
  <c r="AW153" i="1"/>
  <c r="BD153" i="1"/>
  <c r="BF153" i="1"/>
  <c r="BH153" i="1"/>
  <c r="BI153" i="1"/>
  <c r="BJ153" i="1"/>
  <c r="Z153" i="1" s="1"/>
  <c r="K154" i="1"/>
  <c r="AL154" i="1" s="1"/>
  <c r="Z154" i="1"/>
  <c r="AB154" i="1"/>
  <c r="AC154" i="1"/>
  <c r="AD154" i="1"/>
  <c r="AE154" i="1"/>
  <c r="AF154" i="1"/>
  <c r="AG154" i="1"/>
  <c r="AH154" i="1"/>
  <c r="AJ154" i="1"/>
  <c r="AK154" i="1"/>
  <c r="AO154" i="1"/>
  <c r="I154" i="1" s="1"/>
  <c r="AP154" i="1"/>
  <c r="AX154" i="1" s="1"/>
  <c r="BD154" i="1"/>
  <c r="BF154" i="1"/>
  <c r="BH154" i="1"/>
  <c r="BI154" i="1"/>
  <c r="BJ154" i="1"/>
  <c r="K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W155" i="1" s="1"/>
  <c r="AP155" i="1"/>
  <c r="BD155" i="1"/>
  <c r="BF155" i="1"/>
  <c r="BH155" i="1"/>
  <c r="BJ155" i="1"/>
  <c r="K156" i="1"/>
  <c r="AL156" i="1" s="1"/>
  <c r="AB156" i="1"/>
  <c r="AC156" i="1"/>
  <c r="AD156" i="1"/>
  <c r="AE156" i="1"/>
  <c r="AF156" i="1"/>
  <c r="AG156" i="1"/>
  <c r="AH156" i="1"/>
  <c r="AJ156" i="1"/>
  <c r="AK156" i="1"/>
  <c r="AO156" i="1"/>
  <c r="AP156" i="1"/>
  <c r="AX156" i="1" s="1"/>
  <c r="BD156" i="1"/>
  <c r="BF156" i="1"/>
  <c r="BJ156" i="1"/>
  <c r="Z156" i="1" s="1"/>
  <c r="J157" i="1"/>
  <c r="K157" i="1"/>
  <c r="AB157" i="1"/>
  <c r="AC157" i="1"/>
  <c r="AD157" i="1"/>
  <c r="AE157" i="1"/>
  <c r="AF157" i="1"/>
  <c r="AG157" i="1"/>
  <c r="AH157" i="1"/>
  <c r="AJ157" i="1"/>
  <c r="AK157" i="1"/>
  <c r="AL157" i="1"/>
  <c r="AO157" i="1"/>
  <c r="AW157" i="1" s="1"/>
  <c r="AV157" i="1" s="1"/>
  <c r="AP157" i="1"/>
  <c r="AX157" i="1"/>
  <c r="BD157" i="1"/>
  <c r="BF157" i="1"/>
  <c r="BI157" i="1"/>
  <c r="BJ157" i="1"/>
  <c r="Z157" i="1" s="1"/>
  <c r="I158" i="1"/>
  <c r="J158" i="1"/>
  <c r="K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Z158" i="1" s="1"/>
  <c r="AU159" i="1"/>
  <c r="I160" i="1"/>
  <c r="I159" i="1" s="1"/>
  <c r="K160" i="1"/>
  <c r="AL160" i="1" s="1"/>
  <c r="AB160" i="1"/>
  <c r="AC160" i="1"/>
  <c r="AD160" i="1"/>
  <c r="AE160" i="1"/>
  <c r="AF160" i="1"/>
  <c r="AG160" i="1"/>
  <c r="AH160" i="1"/>
  <c r="AJ160" i="1"/>
  <c r="AS159" i="1" s="1"/>
  <c r="AK160" i="1"/>
  <c r="AT159" i="1" s="1"/>
  <c r="AO160" i="1"/>
  <c r="AP160" i="1"/>
  <c r="J160" i="1" s="1"/>
  <c r="J159" i="1" s="1"/>
  <c r="AW160" i="1"/>
  <c r="BD160" i="1"/>
  <c r="BF160" i="1"/>
  <c r="BH160" i="1"/>
  <c r="BI160" i="1"/>
  <c r="BJ160" i="1"/>
  <c r="Z160" i="1" s="1"/>
  <c r="AT161" i="1"/>
  <c r="K162" i="1"/>
  <c r="AL162" i="1" s="1"/>
  <c r="Z162" i="1"/>
  <c r="AB162" i="1"/>
  <c r="AC162" i="1"/>
  <c r="AF162" i="1"/>
  <c r="AG162" i="1"/>
  <c r="AH162" i="1"/>
  <c r="AJ162" i="1"/>
  <c r="AS161" i="1" s="1"/>
  <c r="AK162" i="1"/>
  <c r="AO162" i="1"/>
  <c r="I162" i="1" s="1"/>
  <c r="AP162" i="1"/>
  <c r="AX162" i="1" s="1"/>
  <c r="AV162" i="1" s="1"/>
  <c r="AW162" i="1"/>
  <c r="BD162" i="1"/>
  <c r="BF162" i="1"/>
  <c r="BH162" i="1"/>
  <c r="AD162" i="1" s="1"/>
  <c r="BI162" i="1"/>
  <c r="AE162" i="1" s="1"/>
  <c r="BJ162" i="1"/>
  <c r="K163" i="1"/>
  <c r="Z163" i="1"/>
  <c r="AB163" i="1"/>
  <c r="AC163" i="1"/>
  <c r="AF163" i="1"/>
  <c r="AG163" i="1"/>
  <c r="AH163" i="1"/>
  <c r="AJ163" i="1"/>
  <c r="AK163" i="1"/>
  <c r="AL163" i="1"/>
  <c r="AU161" i="1" s="1"/>
  <c r="AO163" i="1"/>
  <c r="AW163" i="1" s="1"/>
  <c r="AP163" i="1"/>
  <c r="BD163" i="1"/>
  <c r="BF163" i="1"/>
  <c r="BH163" i="1"/>
  <c r="AD163" i="1" s="1"/>
  <c r="BJ163" i="1"/>
  <c r="K164" i="1"/>
  <c r="AL164" i="1" s="1"/>
  <c r="AB164" i="1"/>
  <c r="AC164" i="1"/>
  <c r="AD164" i="1"/>
  <c r="AE164" i="1"/>
  <c r="AF164" i="1"/>
  <c r="AG164" i="1"/>
  <c r="AH164" i="1"/>
  <c r="AJ164" i="1"/>
  <c r="AK164" i="1"/>
  <c r="AO164" i="1"/>
  <c r="BH164" i="1" s="1"/>
  <c r="AP164" i="1"/>
  <c r="AW164" i="1"/>
  <c r="BD164" i="1"/>
  <c r="BF164" i="1"/>
  <c r="BI164" i="1"/>
  <c r="BJ164" i="1"/>
  <c r="Z164" i="1" s="1"/>
  <c r="I166" i="1"/>
  <c r="J166" i="1"/>
  <c r="K166" i="1"/>
  <c r="AL166" i="1" s="1"/>
  <c r="Z166" i="1"/>
  <c r="AB166" i="1"/>
  <c r="AC166" i="1"/>
  <c r="AF166" i="1"/>
  <c r="AG166" i="1"/>
  <c r="AH166" i="1"/>
  <c r="AJ166" i="1"/>
  <c r="AS165" i="1" s="1"/>
  <c r="AK166" i="1"/>
  <c r="AO166" i="1"/>
  <c r="BH166" i="1" s="1"/>
  <c r="AD166" i="1" s="1"/>
  <c r="AP166" i="1"/>
  <c r="AW166" i="1"/>
  <c r="AX166" i="1"/>
  <c r="BD166" i="1"/>
  <c r="BF166" i="1"/>
  <c r="BI166" i="1"/>
  <c r="AE166" i="1" s="1"/>
  <c r="BJ166" i="1"/>
  <c r="I167" i="1"/>
  <c r="J167" i="1"/>
  <c r="K167" i="1"/>
  <c r="Z167" i="1"/>
  <c r="AB167" i="1"/>
  <c r="AC167" i="1"/>
  <c r="AF167" i="1"/>
  <c r="AG167" i="1"/>
  <c r="AH167" i="1"/>
  <c r="AJ167" i="1"/>
  <c r="AK167" i="1"/>
  <c r="AL167" i="1"/>
  <c r="AO167" i="1"/>
  <c r="AP167" i="1"/>
  <c r="AV167" i="1"/>
  <c r="AW167" i="1"/>
  <c r="BC167" i="1" s="1"/>
  <c r="AX167" i="1"/>
  <c r="BD167" i="1"/>
  <c r="BF167" i="1"/>
  <c r="BH167" i="1"/>
  <c r="AD167" i="1" s="1"/>
  <c r="BI167" i="1"/>
  <c r="AE167" i="1" s="1"/>
  <c r="BJ167" i="1"/>
  <c r="I168" i="1"/>
  <c r="K168" i="1"/>
  <c r="AL168" i="1" s="1"/>
  <c r="Z168" i="1"/>
  <c r="AB168" i="1"/>
  <c r="AC168" i="1"/>
  <c r="AF168" i="1"/>
  <c r="AG168" i="1"/>
  <c r="AH168" i="1"/>
  <c r="AJ168" i="1"/>
  <c r="AK168" i="1"/>
  <c r="AO168" i="1"/>
  <c r="BH168" i="1" s="1"/>
  <c r="AD168" i="1" s="1"/>
  <c r="AP168" i="1"/>
  <c r="J168" i="1" s="1"/>
  <c r="AX168" i="1"/>
  <c r="BD168" i="1"/>
  <c r="BF168" i="1"/>
  <c r="BJ168" i="1"/>
  <c r="I169" i="1"/>
  <c r="J169" i="1"/>
  <c r="K169" i="1"/>
  <c r="AL169" i="1" s="1"/>
  <c r="Z169" i="1"/>
  <c r="AB169" i="1"/>
  <c r="AC169" i="1"/>
  <c r="AF169" i="1"/>
  <c r="AG169" i="1"/>
  <c r="AH169" i="1"/>
  <c r="AJ169" i="1"/>
  <c r="AK169" i="1"/>
  <c r="AO169" i="1"/>
  <c r="BH169" i="1" s="1"/>
  <c r="AD169" i="1" s="1"/>
  <c r="AP169" i="1"/>
  <c r="AW169" i="1"/>
  <c r="AX169" i="1"/>
  <c r="BD169" i="1"/>
  <c r="BF169" i="1"/>
  <c r="BI169" i="1"/>
  <c r="AE169" i="1" s="1"/>
  <c r="BJ169" i="1"/>
  <c r="I170" i="1"/>
  <c r="J170" i="1"/>
  <c r="K170" i="1"/>
  <c r="Z170" i="1"/>
  <c r="AB170" i="1"/>
  <c r="AC170" i="1"/>
  <c r="AF170" i="1"/>
  <c r="AG170" i="1"/>
  <c r="AH170" i="1"/>
  <c r="AJ170" i="1"/>
  <c r="AK170" i="1"/>
  <c r="AL170" i="1"/>
  <c r="AO170" i="1"/>
  <c r="AP170" i="1"/>
  <c r="AW170" i="1"/>
  <c r="AX170" i="1"/>
  <c r="BD170" i="1"/>
  <c r="BF170" i="1"/>
  <c r="BH170" i="1"/>
  <c r="AD170" i="1" s="1"/>
  <c r="BI170" i="1"/>
  <c r="AE170" i="1" s="1"/>
  <c r="BJ170" i="1"/>
  <c r="I171" i="1"/>
  <c r="K171" i="1"/>
  <c r="AL171" i="1" s="1"/>
  <c r="AU165" i="1" s="1"/>
  <c r="Z171" i="1"/>
  <c r="AB171" i="1"/>
  <c r="AC171" i="1"/>
  <c r="AF171" i="1"/>
  <c r="AG171" i="1"/>
  <c r="AH171" i="1"/>
  <c r="AJ171" i="1"/>
  <c r="AK171" i="1"/>
  <c r="AO171" i="1"/>
  <c r="AP171" i="1"/>
  <c r="AW171" i="1"/>
  <c r="BD171" i="1"/>
  <c r="BF171" i="1"/>
  <c r="BH171" i="1"/>
  <c r="AD171" i="1" s="1"/>
  <c r="BJ171" i="1"/>
  <c r="K172" i="1"/>
  <c r="AL172" i="1" s="1"/>
  <c r="Z172" i="1"/>
  <c r="AB172" i="1"/>
  <c r="AC172" i="1"/>
  <c r="AF172" i="1"/>
  <c r="AG172" i="1"/>
  <c r="AH172" i="1"/>
  <c r="AJ172" i="1"/>
  <c r="AK172" i="1"/>
  <c r="AO172" i="1"/>
  <c r="AP172" i="1"/>
  <c r="BD172" i="1"/>
  <c r="BF172" i="1"/>
  <c r="BJ172" i="1"/>
  <c r="J173" i="1"/>
  <c r="K173" i="1"/>
  <c r="Z173" i="1"/>
  <c r="AB173" i="1"/>
  <c r="AC173" i="1"/>
  <c r="AE173" i="1"/>
  <c r="AF173" i="1"/>
  <c r="AG173" i="1"/>
  <c r="AH173" i="1"/>
  <c r="AJ173" i="1"/>
  <c r="AK173" i="1"/>
  <c r="AL173" i="1"/>
  <c r="AO173" i="1"/>
  <c r="AP173" i="1"/>
  <c r="BI173" i="1" s="1"/>
  <c r="BD173" i="1"/>
  <c r="BF173" i="1"/>
  <c r="BJ173" i="1"/>
  <c r="I174" i="1"/>
  <c r="J174" i="1"/>
  <c r="K174" i="1"/>
  <c r="Z174" i="1"/>
  <c r="AB174" i="1"/>
  <c r="AC174" i="1"/>
  <c r="AF174" i="1"/>
  <c r="AG174" i="1"/>
  <c r="AH174" i="1"/>
  <c r="AJ174" i="1"/>
  <c r="AK174" i="1"/>
  <c r="AL174" i="1"/>
  <c r="AO174" i="1"/>
  <c r="BH174" i="1" s="1"/>
  <c r="AD174" i="1" s="1"/>
  <c r="AP174" i="1"/>
  <c r="BI174" i="1" s="1"/>
  <c r="AE174" i="1" s="1"/>
  <c r="AX174" i="1"/>
  <c r="BD174" i="1"/>
  <c r="BF174" i="1"/>
  <c r="BJ174" i="1"/>
  <c r="I175" i="1"/>
  <c r="J175" i="1"/>
  <c r="K175" i="1"/>
  <c r="AL175" i="1" s="1"/>
  <c r="AB175" i="1"/>
  <c r="AC175" i="1"/>
  <c r="AD175" i="1"/>
  <c r="AE175" i="1"/>
  <c r="AF175" i="1"/>
  <c r="AG175" i="1"/>
  <c r="AH175" i="1"/>
  <c r="AJ175" i="1"/>
  <c r="AK175" i="1"/>
  <c r="AO175" i="1"/>
  <c r="BH175" i="1" s="1"/>
  <c r="AP175" i="1"/>
  <c r="AW175" i="1"/>
  <c r="AX175" i="1"/>
  <c r="BD175" i="1"/>
  <c r="BF175" i="1"/>
  <c r="BI175" i="1"/>
  <c r="BJ175" i="1"/>
  <c r="Z175" i="1" s="1"/>
  <c r="I177" i="1"/>
  <c r="J177" i="1"/>
  <c r="K177" i="1"/>
  <c r="K176" i="1" s="1"/>
  <c r="G51" i="2" s="1"/>
  <c r="Z177" i="1"/>
  <c r="AB177" i="1"/>
  <c r="AC177" i="1"/>
  <c r="AF177" i="1"/>
  <c r="AG177" i="1"/>
  <c r="AH177" i="1"/>
  <c r="AJ177" i="1"/>
  <c r="AK177" i="1"/>
  <c r="AL177" i="1"/>
  <c r="AU176" i="1" s="1"/>
  <c r="AO177" i="1"/>
  <c r="AP177" i="1"/>
  <c r="AV177" i="1"/>
  <c r="AW177" i="1"/>
  <c r="BC177" i="1" s="1"/>
  <c r="AX177" i="1"/>
  <c r="BD177" i="1"/>
  <c r="BF177" i="1"/>
  <c r="BH177" i="1"/>
  <c r="AD177" i="1" s="1"/>
  <c r="BI177" i="1"/>
  <c r="AE177" i="1" s="1"/>
  <c r="BJ177" i="1"/>
  <c r="I178" i="1"/>
  <c r="K178" i="1"/>
  <c r="AL178" i="1" s="1"/>
  <c r="Z178" i="1"/>
  <c r="AB178" i="1"/>
  <c r="AC178" i="1"/>
  <c r="AD178" i="1"/>
  <c r="AF178" i="1"/>
  <c r="AG178" i="1"/>
  <c r="AH178" i="1"/>
  <c r="AJ178" i="1"/>
  <c r="AK178" i="1"/>
  <c r="AO178" i="1"/>
  <c r="AP178" i="1"/>
  <c r="AW178" i="1"/>
  <c r="AX178" i="1"/>
  <c r="AV178" i="1" s="1"/>
  <c r="BD178" i="1"/>
  <c r="BF178" i="1"/>
  <c r="BH178" i="1"/>
  <c r="BJ178" i="1"/>
  <c r="K179" i="1"/>
  <c r="AL179" i="1" s="1"/>
  <c r="Z179" i="1"/>
  <c r="AB179" i="1"/>
  <c r="AC179" i="1"/>
  <c r="AF179" i="1"/>
  <c r="AG179" i="1"/>
  <c r="AH179" i="1"/>
  <c r="AJ179" i="1"/>
  <c r="AK179" i="1"/>
  <c r="AO179" i="1"/>
  <c r="AW179" i="1" s="1"/>
  <c r="AP179" i="1"/>
  <c r="BD179" i="1"/>
  <c r="BF179" i="1"/>
  <c r="BI179" i="1"/>
  <c r="AE179" i="1" s="1"/>
  <c r="BJ179" i="1"/>
  <c r="J180" i="1"/>
  <c r="K180" i="1"/>
  <c r="Z180" i="1"/>
  <c r="AB180" i="1"/>
  <c r="AC180" i="1"/>
  <c r="AE180" i="1"/>
  <c r="AF180" i="1"/>
  <c r="AG180" i="1"/>
  <c r="AH180" i="1"/>
  <c r="AJ180" i="1"/>
  <c r="AK180" i="1"/>
  <c r="AL180" i="1"/>
  <c r="AO180" i="1"/>
  <c r="AP180" i="1"/>
  <c r="BI180" i="1" s="1"/>
  <c r="BD180" i="1"/>
  <c r="BF180" i="1"/>
  <c r="BH180" i="1"/>
  <c r="AD180" i="1" s="1"/>
  <c r="BJ180" i="1"/>
  <c r="I181" i="1"/>
  <c r="J181" i="1"/>
  <c r="K181" i="1"/>
  <c r="Z181" i="1"/>
  <c r="AB181" i="1"/>
  <c r="AC181" i="1"/>
  <c r="AD181" i="1"/>
  <c r="AE181" i="1"/>
  <c r="AF181" i="1"/>
  <c r="AG181" i="1"/>
  <c r="AH181" i="1"/>
  <c r="AJ181" i="1"/>
  <c r="AK181" i="1"/>
  <c r="AT176" i="1" s="1"/>
  <c r="AL181" i="1"/>
  <c r="AO181" i="1"/>
  <c r="BH181" i="1" s="1"/>
  <c r="AP181" i="1"/>
  <c r="BI181" i="1" s="1"/>
  <c r="BD181" i="1"/>
  <c r="BF181" i="1"/>
  <c r="BJ181" i="1"/>
  <c r="J182" i="1"/>
  <c r="K182" i="1"/>
  <c r="AL182" i="1" s="1"/>
  <c r="Z182" i="1"/>
  <c r="AB182" i="1"/>
  <c r="AC182" i="1"/>
  <c r="AF182" i="1"/>
  <c r="AG182" i="1"/>
  <c r="AH182" i="1"/>
  <c r="AJ182" i="1"/>
  <c r="AK182" i="1"/>
  <c r="AO182" i="1"/>
  <c r="BH182" i="1" s="1"/>
  <c r="AD182" i="1" s="1"/>
  <c r="AP182" i="1"/>
  <c r="AX182" i="1"/>
  <c r="BD182" i="1"/>
  <c r="BF182" i="1"/>
  <c r="BI182" i="1"/>
  <c r="AE182" i="1" s="1"/>
  <c r="BJ182" i="1"/>
  <c r="I183" i="1"/>
  <c r="J183" i="1"/>
  <c r="K183" i="1"/>
  <c r="Z183" i="1"/>
  <c r="AB183" i="1"/>
  <c r="AC183" i="1"/>
  <c r="AF183" i="1"/>
  <c r="AG183" i="1"/>
  <c r="AH183" i="1"/>
  <c r="AJ183" i="1"/>
  <c r="AK183" i="1"/>
  <c r="AL183" i="1"/>
  <c r="AO183" i="1"/>
  <c r="AP183" i="1"/>
  <c r="AW183" i="1"/>
  <c r="AV183" i="1" s="1"/>
  <c r="AX183" i="1"/>
  <c r="BD183" i="1"/>
  <c r="BF183" i="1"/>
  <c r="BH183" i="1"/>
  <c r="AD183" i="1" s="1"/>
  <c r="BI183" i="1"/>
  <c r="AE183" i="1" s="1"/>
  <c r="BJ183" i="1"/>
  <c r="I184" i="1"/>
  <c r="K184" i="1"/>
  <c r="AL184" i="1" s="1"/>
  <c r="Z184" i="1"/>
  <c r="AB184" i="1"/>
  <c r="AC184" i="1"/>
  <c r="AD184" i="1"/>
  <c r="AE184" i="1"/>
  <c r="AF184" i="1"/>
  <c r="AG184" i="1"/>
  <c r="AH184" i="1"/>
  <c r="AJ184" i="1"/>
  <c r="AK184" i="1"/>
  <c r="AO184" i="1"/>
  <c r="AP184" i="1"/>
  <c r="AW184" i="1"/>
  <c r="BD184" i="1"/>
  <c r="BF184" i="1"/>
  <c r="BH184" i="1"/>
  <c r="BJ184" i="1"/>
  <c r="J187" i="1"/>
  <c r="K187" i="1"/>
  <c r="AL187" i="1" s="1"/>
  <c r="AU186" i="1" s="1"/>
  <c r="Z187" i="1"/>
  <c r="AD187" i="1"/>
  <c r="AE187" i="1"/>
  <c r="AF187" i="1"/>
  <c r="AG187" i="1"/>
  <c r="AH187" i="1"/>
  <c r="AJ187" i="1"/>
  <c r="AK187" i="1"/>
  <c r="AO187" i="1"/>
  <c r="BH187" i="1" s="1"/>
  <c r="AB187" i="1" s="1"/>
  <c r="AP187" i="1"/>
  <c r="AX187" i="1"/>
  <c r="BD187" i="1"/>
  <c r="BF187" i="1"/>
  <c r="BI187" i="1"/>
  <c r="AC187" i="1" s="1"/>
  <c r="BJ187" i="1"/>
  <c r="I188" i="1"/>
  <c r="J188" i="1"/>
  <c r="K188" i="1"/>
  <c r="Z188" i="1"/>
  <c r="AC188" i="1"/>
  <c r="AD188" i="1"/>
  <c r="AE188" i="1"/>
  <c r="AF188" i="1"/>
  <c r="AG188" i="1"/>
  <c r="AH188" i="1"/>
  <c r="AJ188" i="1"/>
  <c r="AK188" i="1"/>
  <c r="AL188" i="1"/>
  <c r="AO188" i="1"/>
  <c r="AP188" i="1"/>
  <c r="AW188" i="1"/>
  <c r="AX188" i="1"/>
  <c r="BD188" i="1"/>
  <c r="BF188" i="1"/>
  <c r="BH188" i="1"/>
  <c r="AB188" i="1" s="1"/>
  <c r="BI188" i="1"/>
  <c r="BJ188" i="1"/>
  <c r="I189" i="1"/>
  <c r="K189" i="1"/>
  <c r="AL189" i="1" s="1"/>
  <c r="Z189" i="1"/>
  <c r="AB189" i="1"/>
  <c r="AD189" i="1"/>
  <c r="AE189" i="1"/>
  <c r="AF189" i="1"/>
  <c r="AG189" i="1"/>
  <c r="AH189" i="1"/>
  <c r="AJ189" i="1"/>
  <c r="AK189" i="1"/>
  <c r="AO189" i="1"/>
  <c r="AP189" i="1"/>
  <c r="AW189" i="1"/>
  <c r="AX189" i="1"/>
  <c r="AV189" i="1" s="1"/>
  <c r="BD189" i="1"/>
  <c r="BF189" i="1"/>
  <c r="BH189" i="1"/>
  <c r="BJ189" i="1"/>
  <c r="K190" i="1"/>
  <c r="AL190" i="1" s="1"/>
  <c r="Z190" i="1"/>
  <c r="AC190" i="1"/>
  <c r="AD190" i="1"/>
  <c r="AE190" i="1"/>
  <c r="AF190" i="1"/>
  <c r="AG190" i="1"/>
  <c r="AH190" i="1"/>
  <c r="AJ190" i="1"/>
  <c r="AK190" i="1"/>
  <c r="AO190" i="1"/>
  <c r="AW190" i="1" s="1"/>
  <c r="AP190" i="1"/>
  <c r="BD190" i="1"/>
  <c r="BF190" i="1"/>
  <c r="BI190" i="1"/>
  <c r="BJ190" i="1"/>
  <c r="J192" i="1"/>
  <c r="K192" i="1"/>
  <c r="K191" i="1" s="1"/>
  <c r="G54" i="2" s="1"/>
  <c r="I54" i="2" s="1"/>
  <c r="Z192" i="1"/>
  <c r="AD192" i="1"/>
  <c r="AE192" i="1"/>
  <c r="AF192" i="1"/>
  <c r="AG192" i="1"/>
  <c r="AH192" i="1"/>
  <c r="AJ192" i="1"/>
  <c r="AK192" i="1"/>
  <c r="AL192" i="1"/>
  <c r="AO192" i="1"/>
  <c r="AP192" i="1"/>
  <c r="BI192" i="1" s="1"/>
  <c r="AC192" i="1" s="1"/>
  <c r="BD192" i="1"/>
  <c r="BF192" i="1"/>
  <c r="BH192" i="1"/>
  <c r="AB192" i="1" s="1"/>
  <c r="BJ192" i="1"/>
  <c r="I193" i="1"/>
  <c r="K193" i="1"/>
  <c r="Z193" i="1"/>
  <c r="AD193" i="1"/>
  <c r="AE193" i="1"/>
  <c r="AF193" i="1"/>
  <c r="AG193" i="1"/>
  <c r="AH193" i="1"/>
  <c r="AJ193" i="1"/>
  <c r="AK193" i="1"/>
  <c r="AT191" i="1" s="1"/>
  <c r="AL193" i="1"/>
  <c r="AO193" i="1"/>
  <c r="BH193" i="1" s="1"/>
  <c r="AB193" i="1" s="1"/>
  <c r="AP193" i="1"/>
  <c r="BI193" i="1" s="1"/>
  <c r="AC193" i="1" s="1"/>
  <c r="AX193" i="1"/>
  <c r="BD193" i="1"/>
  <c r="BF193" i="1"/>
  <c r="BJ193" i="1"/>
  <c r="J194" i="1"/>
  <c r="K194" i="1"/>
  <c r="AL194" i="1" s="1"/>
  <c r="Z194" i="1"/>
  <c r="AC194" i="1"/>
  <c r="AD194" i="1"/>
  <c r="AE194" i="1"/>
  <c r="AF194" i="1"/>
  <c r="AG194" i="1"/>
  <c r="AH194" i="1"/>
  <c r="AJ194" i="1"/>
  <c r="AS191" i="1" s="1"/>
  <c r="AK194" i="1"/>
  <c r="AO194" i="1"/>
  <c r="BH194" i="1" s="1"/>
  <c r="AB194" i="1" s="1"/>
  <c r="AP194" i="1"/>
  <c r="AW194" i="1"/>
  <c r="AX194" i="1"/>
  <c r="BD194" i="1"/>
  <c r="BF194" i="1"/>
  <c r="BI194" i="1"/>
  <c r="BJ194" i="1"/>
  <c r="AT195" i="1"/>
  <c r="AU195" i="1"/>
  <c r="I196" i="1"/>
  <c r="I195" i="1" s="1"/>
  <c r="J196" i="1"/>
  <c r="K196" i="1"/>
  <c r="K195" i="1" s="1"/>
  <c r="Z196" i="1"/>
  <c r="AD196" i="1"/>
  <c r="AE196" i="1"/>
  <c r="AF196" i="1"/>
  <c r="AG196" i="1"/>
  <c r="AH196" i="1"/>
  <c r="AJ196" i="1"/>
  <c r="AS195" i="1" s="1"/>
  <c r="AK196" i="1"/>
  <c r="AL196" i="1"/>
  <c r="AO196" i="1"/>
  <c r="AP196" i="1"/>
  <c r="AV196" i="1"/>
  <c r="AW196" i="1"/>
  <c r="BC196" i="1" s="1"/>
  <c r="AX196" i="1"/>
  <c r="BD196" i="1"/>
  <c r="BF196" i="1"/>
  <c r="BH196" i="1"/>
  <c r="AB196" i="1" s="1"/>
  <c r="BI196" i="1"/>
  <c r="AC196" i="1" s="1"/>
  <c r="BJ196" i="1"/>
  <c r="I197" i="1"/>
  <c r="K197" i="1"/>
  <c r="AL197" i="1" s="1"/>
  <c r="Z197" i="1"/>
  <c r="AB197" i="1"/>
  <c r="AD197" i="1"/>
  <c r="AE197" i="1"/>
  <c r="AF197" i="1"/>
  <c r="AG197" i="1"/>
  <c r="AH197" i="1"/>
  <c r="AJ197" i="1"/>
  <c r="AK197" i="1"/>
  <c r="AO197" i="1"/>
  <c r="AP197" i="1"/>
  <c r="AW197" i="1"/>
  <c r="AX197" i="1"/>
  <c r="AV197" i="1" s="1"/>
  <c r="BD197" i="1"/>
  <c r="BF197" i="1"/>
  <c r="BH197" i="1"/>
  <c r="BJ197" i="1"/>
  <c r="K198" i="1"/>
  <c r="G56" i="2" s="1"/>
  <c r="I56" i="2" s="1"/>
  <c r="AS198" i="1"/>
  <c r="K199" i="1"/>
  <c r="AL199" i="1" s="1"/>
  <c r="Z199" i="1"/>
  <c r="AB199" i="1"/>
  <c r="AC199" i="1"/>
  <c r="AD199" i="1"/>
  <c r="AE199" i="1"/>
  <c r="AF199" i="1"/>
  <c r="AG199" i="1"/>
  <c r="AH199" i="1"/>
  <c r="AJ199" i="1"/>
  <c r="AK199" i="1"/>
  <c r="AO199" i="1"/>
  <c r="AW199" i="1" s="1"/>
  <c r="AP199" i="1"/>
  <c r="BD199" i="1"/>
  <c r="BF199" i="1"/>
  <c r="BI199" i="1"/>
  <c r="BJ199" i="1"/>
  <c r="J200" i="1"/>
  <c r="K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BI200" i="1" s="1"/>
  <c r="BD200" i="1"/>
  <c r="BF200" i="1"/>
  <c r="BH200" i="1"/>
  <c r="BJ200" i="1"/>
  <c r="I201" i="1"/>
  <c r="J201" i="1"/>
  <c r="K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BH201" i="1" s="1"/>
  <c r="AP201" i="1"/>
  <c r="BI201" i="1" s="1"/>
  <c r="BD201" i="1"/>
  <c r="BF201" i="1"/>
  <c r="BJ201" i="1"/>
  <c r="I202" i="1"/>
  <c r="J202" i="1"/>
  <c r="K202" i="1"/>
  <c r="AB202" i="1"/>
  <c r="AC202" i="1"/>
  <c r="AD202" i="1"/>
  <c r="AE202" i="1"/>
  <c r="AF202" i="1"/>
  <c r="AG202" i="1"/>
  <c r="AH202" i="1"/>
  <c r="AJ202" i="1"/>
  <c r="AK202" i="1"/>
  <c r="AL202" i="1"/>
  <c r="AO202" i="1"/>
  <c r="BH202" i="1" s="1"/>
  <c r="AP202" i="1"/>
  <c r="AW202" i="1"/>
  <c r="AX202" i="1"/>
  <c r="BD202" i="1"/>
  <c r="BF202" i="1"/>
  <c r="BI202" i="1"/>
  <c r="BJ202" i="1"/>
  <c r="Z202" i="1" s="1"/>
  <c r="I203" i="1"/>
  <c r="J203" i="1"/>
  <c r="K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W203" i="1"/>
  <c r="AV203" i="1" s="1"/>
  <c r="AX203" i="1"/>
  <c r="BC203" i="1"/>
  <c r="BD203" i="1"/>
  <c r="BF203" i="1"/>
  <c r="BH203" i="1"/>
  <c r="BI203" i="1"/>
  <c r="BJ203" i="1"/>
  <c r="Z203" i="1" s="1"/>
  <c r="I204" i="1"/>
  <c r="K204" i="1"/>
  <c r="AL204" i="1" s="1"/>
  <c r="Z204" i="1"/>
  <c r="AB204" i="1"/>
  <c r="AC204" i="1"/>
  <c r="AD204" i="1"/>
  <c r="AE204" i="1"/>
  <c r="AF204" i="1"/>
  <c r="AG204" i="1"/>
  <c r="AH204" i="1"/>
  <c r="AJ204" i="1"/>
  <c r="AK204" i="1"/>
  <c r="AO204" i="1"/>
  <c r="AP204" i="1"/>
  <c r="J204" i="1" s="1"/>
  <c r="AW204" i="1"/>
  <c r="BD204" i="1"/>
  <c r="BF204" i="1"/>
  <c r="BH204" i="1"/>
  <c r="BI204" i="1"/>
  <c r="BJ204" i="1"/>
  <c r="K205" i="1"/>
  <c r="AL205" i="1" s="1"/>
  <c r="Z205" i="1"/>
  <c r="AB205" i="1"/>
  <c r="AC205" i="1"/>
  <c r="AD205" i="1"/>
  <c r="AE205" i="1"/>
  <c r="AF205" i="1"/>
  <c r="AG205" i="1"/>
  <c r="AH205" i="1"/>
  <c r="AJ205" i="1"/>
  <c r="AK205" i="1"/>
  <c r="AO205" i="1"/>
  <c r="I205" i="1" s="1"/>
  <c r="AP205" i="1"/>
  <c r="AW205" i="1"/>
  <c r="BD205" i="1"/>
  <c r="BF205" i="1"/>
  <c r="BH205" i="1"/>
  <c r="BI205" i="1"/>
  <c r="BJ205" i="1"/>
  <c r="AS206" i="1"/>
  <c r="AT206" i="1"/>
  <c r="K207" i="1"/>
  <c r="K206" i="1" s="1"/>
  <c r="G57" i="2" s="1"/>
  <c r="Z207" i="1"/>
  <c r="AB207" i="1"/>
  <c r="AC207" i="1"/>
  <c r="AD207" i="1"/>
  <c r="AE207" i="1"/>
  <c r="AF207" i="1"/>
  <c r="AG207" i="1"/>
  <c r="AH207" i="1"/>
  <c r="AJ207" i="1"/>
  <c r="AK207" i="1"/>
  <c r="AO207" i="1"/>
  <c r="AP207" i="1"/>
  <c r="BD207" i="1"/>
  <c r="BF207" i="1"/>
  <c r="BH207" i="1"/>
  <c r="BJ207" i="1"/>
  <c r="I209" i="1"/>
  <c r="J209" i="1"/>
  <c r="J208" i="1" s="1"/>
  <c r="F58" i="2" s="1"/>
  <c r="K209" i="1"/>
  <c r="K208" i="1" s="1"/>
  <c r="G58" i="2" s="1"/>
  <c r="I58" i="2" s="1"/>
  <c r="Z209" i="1"/>
  <c r="AB209" i="1"/>
  <c r="AC209" i="1"/>
  <c r="AF209" i="1"/>
  <c r="AG209" i="1"/>
  <c r="AH209" i="1"/>
  <c r="AJ209" i="1"/>
  <c r="AK209" i="1"/>
  <c r="AT208" i="1" s="1"/>
  <c r="AL209" i="1"/>
  <c r="AO209" i="1"/>
  <c r="AP209" i="1"/>
  <c r="BI209" i="1" s="1"/>
  <c r="AE209" i="1" s="1"/>
  <c r="BD209" i="1"/>
  <c r="BF209" i="1"/>
  <c r="BJ209" i="1"/>
  <c r="J210" i="1"/>
  <c r="K210" i="1"/>
  <c r="AL210" i="1" s="1"/>
  <c r="Z210" i="1"/>
  <c r="AB210" i="1"/>
  <c r="AC210" i="1"/>
  <c r="AF210" i="1"/>
  <c r="AG210" i="1"/>
  <c r="AH210" i="1"/>
  <c r="AJ210" i="1"/>
  <c r="AS208" i="1" s="1"/>
  <c r="AK210" i="1"/>
  <c r="AO210" i="1"/>
  <c r="BH210" i="1" s="1"/>
  <c r="AD210" i="1" s="1"/>
  <c r="AP210" i="1"/>
  <c r="AX210" i="1"/>
  <c r="BD210" i="1"/>
  <c r="BF210" i="1"/>
  <c r="BI210" i="1"/>
  <c r="AE210" i="1" s="1"/>
  <c r="BJ210" i="1"/>
  <c r="I211" i="1"/>
  <c r="J211" i="1"/>
  <c r="K211" i="1"/>
  <c r="Z211" i="1"/>
  <c r="AB211" i="1"/>
  <c r="AC211" i="1"/>
  <c r="AF211" i="1"/>
  <c r="AG211" i="1"/>
  <c r="AH211" i="1"/>
  <c r="AJ211" i="1"/>
  <c r="AK211" i="1"/>
  <c r="AL211" i="1"/>
  <c r="AO211" i="1"/>
  <c r="AP211" i="1"/>
  <c r="BI211" i="1" s="1"/>
  <c r="AE211" i="1" s="1"/>
  <c r="AW211" i="1"/>
  <c r="BD211" i="1"/>
  <c r="BF211" i="1"/>
  <c r="BH211" i="1"/>
  <c r="AD211" i="1" s="1"/>
  <c r="BJ211" i="1"/>
  <c r="I212" i="1"/>
  <c r="K212" i="1"/>
  <c r="AL212" i="1" s="1"/>
  <c r="Z212" i="1"/>
  <c r="AB212" i="1"/>
  <c r="AC212" i="1"/>
  <c r="AF212" i="1"/>
  <c r="AG212" i="1"/>
  <c r="AH212" i="1"/>
  <c r="AJ212" i="1"/>
  <c r="AK212" i="1"/>
  <c r="AO212" i="1"/>
  <c r="AP212" i="1"/>
  <c r="J212" i="1" s="1"/>
  <c r="AW212" i="1"/>
  <c r="BD212" i="1"/>
  <c r="BF212" i="1"/>
  <c r="BH212" i="1"/>
  <c r="AD212" i="1" s="1"/>
  <c r="BI212" i="1"/>
  <c r="AE212" i="1" s="1"/>
  <c r="BJ212" i="1"/>
  <c r="J215" i="1"/>
  <c r="K215" i="1"/>
  <c r="AL215" i="1" s="1"/>
  <c r="Z215" i="1"/>
  <c r="AD215" i="1"/>
  <c r="AE215" i="1"/>
  <c r="AF215" i="1"/>
  <c r="AG215" i="1"/>
  <c r="AH215" i="1"/>
  <c r="AJ215" i="1"/>
  <c r="AS214" i="1" s="1"/>
  <c r="AK215" i="1"/>
  <c r="AO215" i="1"/>
  <c r="BH215" i="1" s="1"/>
  <c r="AB215" i="1" s="1"/>
  <c r="AP215" i="1"/>
  <c r="AX215" i="1"/>
  <c r="BD215" i="1"/>
  <c r="BF215" i="1"/>
  <c r="BI215" i="1"/>
  <c r="AC215" i="1" s="1"/>
  <c r="BJ215" i="1"/>
  <c r="I216" i="1"/>
  <c r="J216" i="1"/>
  <c r="K216" i="1"/>
  <c r="Z216" i="1"/>
  <c r="AD216" i="1"/>
  <c r="AE216" i="1"/>
  <c r="AF216" i="1"/>
  <c r="AG216" i="1"/>
  <c r="AH216" i="1"/>
  <c r="AJ216" i="1"/>
  <c r="AK216" i="1"/>
  <c r="AL216" i="1"/>
  <c r="AO216" i="1"/>
  <c r="AP216" i="1"/>
  <c r="BI216" i="1" s="1"/>
  <c r="AC216" i="1" s="1"/>
  <c r="AW216" i="1"/>
  <c r="BD216" i="1"/>
  <c r="BF216" i="1"/>
  <c r="BH216" i="1"/>
  <c r="AB216" i="1" s="1"/>
  <c r="BJ216" i="1"/>
  <c r="K217" i="1"/>
  <c r="AL217" i="1" s="1"/>
  <c r="Z217" i="1"/>
  <c r="AD217" i="1"/>
  <c r="AE217" i="1"/>
  <c r="AF217" i="1"/>
  <c r="AG217" i="1"/>
  <c r="AH217" i="1"/>
  <c r="AJ217" i="1"/>
  <c r="AK217" i="1"/>
  <c r="AO217" i="1"/>
  <c r="AW217" i="1" s="1"/>
  <c r="AP217" i="1"/>
  <c r="BD217" i="1"/>
  <c r="BF217" i="1"/>
  <c r="BH217" i="1"/>
  <c r="AB217" i="1" s="1"/>
  <c r="BJ217" i="1"/>
  <c r="K218" i="1"/>
  <c r="AL218" i="1" s="1"/>
  <c r="Z218" i="1"/>
  <c r="AB218" i="1"/>
  <c r="AD218" i="1"/>
  <c r="AE218" i="1"/>
  <c r="AF218" i="1"/>
  <c r="AG218" i="1"/>
  <c r="AH218" i="1"/>
  <c r="AJ218" i="1"/>
  <c r="AK218" i="1"/>
  <c r="AO218" i="1"/>
  <c r="I218" i="1" s="1"/>
  <c r="AP218" i="1"/>
  <c r="AX218" i="1" s="1"/>
  <c r="BC218" i="1" s="1"/>
  <c r="AV218" i="1"/>
  <c r="AW218" i="1"/>
  <c r="BD218" i="1"/>
  <c r="BF218" i="1"/>
  <c r="BH218" i="1"/>
  <c r="BI218" i="1"/>
  <c r="AC218" i="1" s="1"/>
  <c r="BJ218" i="1"/>
  <c r="I219" i="1"/>
  <c r="K219" i="1"/>
  <c r="Z219" i="1"/>
  <c r="AB219" i="1"/>
  <c r="AD219" i="1"/>
  <c r="AE219" i="1"/>
  <c r="AF219" i="1"/>
  <c r="AG219" i="1"/>
  <c r="AH219" i="1"/>
  <c r="AJ219" i="1"/>
  <c r="AK219" i="1"/>
  <c r="AT214" i="1" s="1"/>
  <c r="AL219" i="1"/>
  <c r="AO219" i="1"/>
  <c r="AW219" i="1" s="1"/>
  <c r="AP219" i="1"/>
  <c r="BI219" i="1" s="1"/>
  <c r="AC219" i="1" s="1"/>
  <c r="AX219" i="1"/>
  <c r="BD219" i="1"/>
  <c r="BF219" i="1"/>
  <c r="BH219" i="1"/>
  <c r="BJ219" i="1"/>
  <c r="B2" i="2"/>
  <c r="E2" i="2"/>
  <c r="B4" i="2"/>
  <c r="E4" i="2"/>
  <c r="B6" i="2"/>
  <c r="E6" i="2"/>
  <c r="B8" i="2"/>
  <c r="I11" i="2"/>
  <c r="G12" i="2"/>
  <c r="I12" i="2"/>
  <c r="G13" i="2"/>
  <c r="I13" i="2"/>
  <c r="F14" i="2"/>
  <c r="G14" i="2"/>
  <c r="I14" i="2"/>
  <c r="E15" i="2"/>
  <c r="G15" i="2"/>
  <c r="I15" i="2" s="1"/>
  <c r="G16" i="2"/>
  <c r="I16" i="2"/>
  <c r="E17" i="2"/>
  <c r="F17" i="2"/>
  <c r="G17" i="2"/>
  <c r="I17" i="2"/>
  <c r="F19" i="2"/>
  <c r="G19" i="2"/>
  <c r="I19" i="2" s="1"/>
  <c r="G21" i="2"/>
  <c r="I21" i="2"/>
  <c r="G22" i="2"/>
  <c r="I22" i="2" s="1"/>
  <c r="E23" i="2"/>
  <c r="F23" i="2"/>
  <c r="G23" i="2"/>
  <c r="I23" i="2"/>
  <c r="G25" i="2"/>
  <c r="I25" i="2"/>
  <c r="F26" i="2"/>
  <c r="G26" i="2"/>
  <c r="I26" i="2"/>
  <c r="G27" i="2"/>
  <c r="I27" i="2"/>
  <c r="F28" i="2"/>
  <c r="E30" i="2"/>
  <c r="G30" i="2"/>
  <c r="I30" i="2"/>
  <c r="I32" i="2"/>
  <c r="G33" i="2"/>
  <c r="I33" i="2"/>
  <c r="E34" i="2"/>
  <c r="E36" i="2"/>
  <c r="I38" i="2"/>
  <c r="E39" i="2"/>
  <c r="F39" i="2"/>
  <c r="E40" i="2"/>
  <c r="G42" i="2"/>
  <c r="I42" i="2"/>
  <c r="G43" i="2"/>
  <c r="I43" i="2" s="1"/>
  <c r="G45" i="2"/>
  <c r="I45" i="2" s="1"/>
  <c r="E48" i="2"/>
  <c r="F48" i="2"/>
  <c r="I51" i="2"/>
  <c r="I52" i="2"/>
  <c r="E55" i="2"/>
  <c r="G55" i="2"/>
  <c r="I55" i="2"/>
  <c r="I57" i="2"/>
  <c r="I59" i="2"/>
  <c r="C2" i="3"/>
  <c r="F2" i="3"/>
  <c r="C4" i="3"/>
  <c r="F4" i="3"/>
  <c r="C6" i="3"/>
  <c r="F6" i="3"/>
  <c r="C8" i="3"/>
  <c r="BC219" i="1" l="1"/>
  <c r="AV219" i="1"/>
  <c r="BI207" i="1"/>
  <c r="AX207" i="1"/>
  <c r="J207" i="1"/>
  <c r="J206" i="1" s="1"/>
  <c r="F57" i="2" s="1"/>
  <c r="J217" i="1"/>
  <c r="BI217" i="1"/>
  <c r="AC217" i="1" s="1"/>
  <c r="AX217" i="1"/>
  <c r="AU208" i="1"/>
  <c r="I208" i="1"/>
  <c r="E58" i="2" s="1"/>
  <c r="BC190" i="1"/>
  <c r="AV188" i="1"/>
  <c r="BC188" i="1"/>
  <c r="AV199" i="1"/>
  <c r="BC199" i="1"/>
  <c r="K214" i="1"/>
  <c r="BC217" i="1"/>
  <c r="AV217" i="1"/>
  <c r="AW192" i="1"/>
  <c r="I192" i="1"/>
  <c r="I191" i="1" s="1"/>
  <c r="E54" i="2" s="1"/>
  <c r="BI171" i="1"/>
  <c r="AE171" i="1" s="1"/>
  <c r="AX171" i="1"/>
  <c r="AV171" i="1" s="1"/>
  <c r="J171" i="1"/>
  <c r="BC170" i="1"/>
  <c r="AV170" i="1"/>
  <c r="J136" i="1"/>
  <c r="F45" i="2" s="1"/>
  <c r="AV179" i="1"/>
  <c r="BC179" i="1"/>
  <c r="AU214" i="1"/>
  <c r="AU198" i="1"/>
  <c r="BH150" i="1"/>
  <c r="AW150" i="1"/>
  <c r="I150" i="1"/>
  <c r="J128" i="1"/>
  <c r="F43" i="2" s="1"/>
  <c r="AV202" i="1"/>
  <c r="BC194" i="1"/>
  <c r="AV194" i="1"/>
  <c r="BC146" i="1"/>
  <c r="AV146" i="1"/>
  <c r="BI83" i="1"/>
  <c r="AE83" i="1" s="1"/>
  <c r="AX83" i="1"/>
  <c r="J83" i="1"/>
  <c r="BC82" i="1"/>
  <c r="AV82" i="1"/>
  <c r="BH71" i="1"/>
  <c r="AW71" i="1"/>
  <c r="I71" i="1"/>
  <c r="AX216" i="1"/>
  <c r="AX211" i="1"/>
  <c r="AL207" i="1"/>
  <c r="AU206" i="1" s="1"/>
  <c r="AX205" i="1"/>
  <c r="BC205" i="1" s="1"/>
  <c r="J205" i="1"/>
  <c r="AX204" i="1"/>
  <c r="AV204" i="1" s="1"/>
  <c r="BC189" i="1"/>
  <c r="AT186" i="1"/>
  <c r="BC183" i="1"/>
  <c r="AW182" i="1"/>
  <c r="BH172" i="1"/>
  <c r="AD172" i="1" s="1"/>
  <c r="AW172" i="1"/>
  <c r="I172" i="1"/>
  <c r="BC166" i="1"/>
  <c r="AV166" i="1"/>
  <c r="BC157" i="1"/>
  <c r="AT147" i="1"/>
  <c r="BH127" i="1"/>
  <c r="AB127" i="1" s="1"/>
  <c r="AW127" i="1"/>
  <c r="I127" i="1"/>
  <c r="J122" i="1"/>
  <c r="F42" i="2" s="1"/>
  <c r="BH111" i="1"/>
  <c r="AB111" i="1" s="1"/>
  <c r="AW111" i="1"/>
  <c r="I111" i="1"/>
  <c r="BI89" i="1"/>
  <c r="AC89" i="1" s="1"/>
  <c r="AX89" i="1"/>
  <c r="J89" i="1"/>
  <c r="J88" i="1" s="1"/>
  <c r="F34" i="2" s="1"/>
  <c r="AU191" i="1"/>
  <c r="I187" i="1"/>
  <c r="BI184" i="1"/>
  <c r="J184" i="1"/>
  <c r="BC178" i="1"/>
  <c r="BI172" i="1"/>
  <c r="AE172" i="1" s="1"/>
  <c r="AX172" i="1"/>
  <c r="J172" i="1"/>
  <c r="J165" i="1"/>
  <c r="F50" i="2" s="1"/>
  <c r="BI155" i="1"/>
  <c r="AX155" i="1"/>
  <c r="AV155" i="1" s="1"/>
  <c r="J155" i="1"/>
  <c r="J219" i="1"/>
  <c r="J218" i="1"/>
  <c r="J214" i="1" s="1"/>
  <c r="I215" i="1"/>
  <c r="I214" i="1" s="1"/>
  <c r="I210" i="1"/>
  <c r="AX209" i="1"/>
  <c r="BC204" i="1"/>
  <c r="AX201" i="1"/>
  <c r="AW200" i="1"/>
  <c r="I200" i="1"/>
  <c r="BI197" i="1"/>
  <c r="AC197" i="1" s="1"/>
  <c r="J197" i="1"/>
  <c r="J195" i="1" s="1"/>
  <c r="F55" i="2" s="1"/>
  <c r="I194" i="1"/>
  <c r="J193" i="1"/>
  <c r="J191" i="1" s="1"/>
  <c r="F54" i="2" s="1"/>
  <c r="AX190" i="1"/>
  <c r="AV190" i="1" s="1"/>
  <c r="J190" i="1"/>
  <c r="AS186" i="1"/>
  <c r="K186" i="1"/>
  <c r="AX181" i="1"/>
  <c r="AW180" i="1"/>
  <c r="I180" i="1"/>
  <c r="AX179" i="1"/>
  <c r="J179" i="1"/>
  <c r="BI178" i="1"/>
  <c r="AE178" i="1" s="1"/>
  <c r="J178" i="1"/>
  <c r="J176" i="1" s="1"/>
  <c r="F51" i="2" s="1"/>
  <c r="BH173" i="1"/>
  <c r="AD173" i="1" s="1"/>
  <c r="AW173" i="1"/>
  <c r="I173" i="1"/>
  <c r="BC169" i="1"/>
  <c r="AV169" i="1"/>
  <c r="J153" i="1"/>
  <c r="AX153" i="1"/>
  <c r="BC153" i="1" s="1"/>
  <c r="AS147" i="1"/>
  <c r="AW207" i="1"/>
  <c r="I207" i="1"/>
  <c r="I206" i="1" s="1"/>
  <c r="E57" i="2" s="1"/>
  <c r="BC197" i="1"/>
  <c r="AW215" i="1"/>
  <c r="AW210" i="1"/>
  <c r="AX199" i="1"/>
  <c r="J199" i="1"/>
  <c r="J198" i="1" s="1"/>
  <c r="F56" i="2" s="1"/>
  <c r="BH190" i="1"/>
  <c r="AB190" i="1" s="1"/>
  <c r="I190" i="1"/>
  <c r="BI189" i="1"/>
  <c r="AC189" i="1" s="1"/>
  <c r="J189" i="1"/>
  <c r="J186" i="1" s="1"/>
  <c r="AX184" i="1"/>
  <c r="AV184" i="1" s="1"/>
  <c r="I182" i="1"/>
  <c r="BH179" i="1"/>
  <c r="AD179" i="1" s="1"/>
  <c r="I179" i="1"/>
  <c r="I176" i="1" s="1"/>
  <c r="E51" i="2" s="1"/>
  <c r="BC175" i="1"/>
  <c r="AV175" i="1"/>
  <c r="I165" i="1"/>
  <c r="E50" i="2" s="1"/>
  <c r="AV164" i="1"/>
  <c r="BI149" i="1"/>
  <c r="AX149" i="1"/>
  <c r="J149" i="1"/>
  <c r="BC131" i="1"/>
  <c r="AV131" i="1"/>
  <c r="I217" i="1"/>
  <c r="AT198" i="1"/>
  <c r="AX212" i="1"/>
  <c r="AV212" i="1" s="1"/>
  <c r="G34" i="2"/>
  <c r="I34" i="2" s="1"/>
  <c r="E33" i="2"/>
  <c r="BC212" i="1"/>
  <c r="BH209" i="1"/>
  <c r="AD209" i="1" s="1"/>
  <c r="AW209" i="1"/>
  <c r="BC202" i="1"/>
  <c r="BH199" i="1"/>
  <c r="I199" i="1"/>
  <c r="I198" i="1" s="1"/>
  <c r="E56" i="2" s="1"/>
  <c r="AW187" i="1"/>
  <c r="AS176" i="1"/>
  <c r="AT165" i="1"/>
  <c r="J164" i="1"/>
  <c r="AX164" i="1"/>
  <c r="BC164" i="1" s="1"/>
  <c r="AV163" i="1"/>
  <c r="BI150" i="1"/>
  <c r="AX150" i="1"/>
  <c r="J150" i="1"/>
  <c r="AU147" i="1"/>
  <c r="BC149" i="1"/>
  <c r="AV149" i="1"/>
  <c r="BC148" i="1"/>
  <c r="AV148" i="1"/>
  <c r="AT142" i="1"/>
  <c r="AW201" i="1"/>
  <c r="AX200" i="1"/>
  <c r="AW193" i="1"/>
  <c r="AX192" i="1"/>
  <c r="AW181" i="1"/>
  <c r="AX180" i="1"/>
  <c r="AW174" i="1"/>
  <c r="AX173" i="1"/>
  <c r="BI168" i="1"/>
  <c r="AE168" i="1" s="1"/>
  <c r="AW168" i="1"/>
  <c r="K161" i="1"/>
  <c r="G49" i="2" s="1"/>
  <c r="I49" i="2" s="1"/>
  <c r="AX160" i="1"/>
  <c r="BC160" i="1" s="1"/>
  <c r="AW154" i="1"/>
  <c r="BH151" i="1"/>
  <c r="AW151" i="1"/>
  <c r="I151" i="1"/>
  <c r="AU142" i="1"/>
  <c r="BI141" i="1"/>
  <c r="AC141" i="1" s="1"/>
  <c r="AX141" i="1"/>
  <c r="AV141" i="1" s="1"/>
  <c r="J141" i="1"/>
  <c r="BH135" i="1"/>
  <c r="AB135" i="1" s="1"/>
  <c r="AW135" i="1"/>
  <c r="I135" i="1"/>
  <c r="BC130" i="1"/>
  <c r="AV130" i="1"/>
  <c r="AU128" i="1"/>
  <c r="BI126" i="1"/>
  <c r="AC126" i="1" s="1"/>
  <c r="AX126" i="1"/>
  <c r="AV126" i="1" s="1"/>
  <c r="J126" i="1"/>
  <c r="AU122" i="1"/>
  <c r="BH120" i="1"/>
  <c r="AB120" i="1" s="1"/>
  <c r="AW120" i="1"/>
  <c r="I120" i="1"/>
  <c r="BC115" i="1"/>
  <c r="AV115" i="1"/>
  <c r="BC109" i="1"/>
  <c r="BC77" i="1"/>
  <c r="K165" i="1"/>
  <c r="G50" i="2" s="1"/>
  <c r="I50" i="2" s="1"/>
  <c r="I164" i="1"/>
  <c r="AV160" i="1"/>
  <c r="K142" i="1"/>
  <c r="G46" i="2" s="1"/>
  <c r="I46" i="2" s="1"/>
  <c r="BC139" i="1"/>
  <c r="AV139" i="1"/>
  <c r="K133" i="1"/>
  <c r="G44" i="2" s="1"/>
  <c r="I44" i="2" s="1"/>
  <c r="AT128" i="1"/>
  <c r="BC126" i="1"/>
  <c r="BC124" i="1"/>
  <c r="AV124" i="1"/>
  <c r="K118" i="1"/>
  <c r="G41" i="2" s="1"/>
  <c r="I41" i="2" s="1"/>
  <c r="BI110" i="1"/>
  <c r="AC110" i="1" s="1"/>
  <c r="AX110" i="1"/>
  <c r="J110" i="1"/>
  <c r="AU106" i="1"/>
  <c r="BH104" i="1"/>
  <c r="AB104" i="1" s="1"/>
  <c r="AW104" i="1"/>
  <c r="I104" i="1"/>
  <c r="BI163" i="1"/>
  <c r="AE163" i="1" s="1"/>
  <c r="AX163" i="1"/>
  <c r="BC163" i="1" s="1"/>
  <c r="BI156" i="1"/>
  <c r="J156" i="1"/>
  <c r="BC138" i="1"/>
  <c r="AV138" i="1"/>
  <c r="BI134" i="1"/>
  <c r="AC134" i="1" s="1"/>
  <c r="AX134" i="1"/>
  <c r="AV134" i="1" s="1"/>
  <c r="J134" i="1"/>
  <c r="J133" i="1" s="1"/>
  <c r="F44" i="2" s="1"/>
  <c r="BC123" i="1"/>
  <c r="AV123" i="1"/>
  <c r="AS122" i="1"/>
  <c r="BI119" i="1"/>
  <c r="AC119" i="1" s="1"/>
  <c r="AX119" i="1"/>
  <c r="J119" i="1"/>
  <c r="BC113" i="1"/>
  <c r="AV113" i="1"/>
  <c r="AV110" i="1"/>
  <c r="BC110" i="1"/>
  <c r="BC108" i="1"/>
  <c r="AV108" i="1"/>
  <c r="BC102" i="1"/>
  <c r="K90" i="1"/>
  <c r="G35" i="2" s="1"/>
  <c r="I35" i="2" s="1"/>
  <c r="AL92" i="1"/>
  <c r="BH91" i="1"/>
  <c r="AB91" i="1" s="1"/>
  <c r="AW91" i="1"/>
  <c r="I91" i="1"/>
  <c r="BC86" i="1"/>
  <c r="AV86" i="1"/>
  <c r="J163" i="1"/>
  <c r="BC162" i="1"/>
  <c r="BH157" i="1"/>
  <c r="I157" i="1"/>
  <c r="BH156" i="1"/>
  <c r="AW156" i="1"/>
  <c r="I156" i="1"/>
  <c r="BH143" i="1"/>
  <c r="AB143" i="1" s="1"/>
  <c r="AW143" i="1"/>
  <c r="I143" i="1"/>
  <c r="I142" i="1" s="1"/>
  <c r="E46" i="2" s="1"/>
  <c r="BC134" i="1"/>
  <c r="BC132" i="1"/>
  <c r="AV119" i="1"/>
  <c r="BC119" i="1"/>
  <c r="BC117" i="1"/>
  <c r="BC107" i="1"/>
  <c r="AV107" i="1"/>
  <c r="BI103" i="1"/>
  <c r="AC103" i="1" s="1"/>
  <c r="AX103" i="1"/>
  <c r="AV103" i="1" s="1"/>
  <c r="J103" i="1"/>
  <c r="AW101" i="1"/>
  <c r="BH101" i="1"/>
  <c r="AB101" i="1" s="1"/>
  <c r="I101" i="1"/>
  <c r="I144" i="1"/>
  <c r="J143" i="1"/>
  <c r="J142" i="1" s="1"/>
  <c r="F46" i="2" s="1"/>
  <c r="I137" i="1"/>
  <c r="I136" i="1" s="1"/>
  <c r="E45" i="2" s="1"/>
  <c r="J135" i="1"/>
  <c r="I129" i="1"/>
  <c r="I128" i="1" s="1"/>
  <c r="E43" i="2" s="1"/>
  <c r="J127" i="1"/>
  <c r="I121" i="1"/>
  <c r="J120" i="1"/>
  <c r="I112" i="1"/>
  <c r="J111" i="1"/>
  <c r="I105" i="1"/>
  <c r="J104" i="1"/>
  <c r="BC100" i="1"/>
  <c r="BI99" i="1"/>
  <c r="AC99" i="1" s="1"/>
  <c r="AX99" i="1"/>
  <c r="J99" i="1"/>
  <c r="K98" i="1"/>
  <c r="G37" i="2" s="1"/>
  <c r="I37" i="2" s="1"/>
  <c r="AV93" i="1"/>
  <c r="AT90" i="1"/>
  <c r="J85" i="1"/>
  <c r="BC81" i="1"/>
  <c r="AV81" i="1"/>
  <c r="BI78" i="1"/>
  <c r="AE78" i="1" s="1"/>
  <c r="AX78" i="1"/>
  <c r="J78" i="1"/>
  <c r="AU76" i="1"/>
  <c r="AV73" i="1"/>
  <c r="BI62" i="1"/>
  <c r="AX62" i="1"/>
  <c r="J62" i="1"/>
  <c r="BC57" i="1"/>
  <c r="AV57" i="1"/>
  <c r="K147" i="1"/>
  <c r="G47" i="2" s="1"/>
  <c r="I47" i="2" s="1"/>
  <c r="AW144" i="1"/>
  <c r="AX143" i="1"/>
  <c r="AW137" i="1"/>
  <c r="AX135" i="1"/>
  <c r="AW129" i="1"/>
  <c r="AX127" i="1"/>
  <c r="AW121" i="1"/>
  <c r="AX120" i="1"/>
  <c r="K116" i="1"/>
  <c r="G40" i="2" s="1"/>
  <c r="I40" i="2" s="1"/>
  <c r="AW112" i="1"/>
  <c r="AX111" i="1"/>
  <c r="AW105" i="1"/>
  <c r="AX104" i="1"/>
  <c r="BH99" i="1"/>
  <c r="AB99" i="1" s="1"/>
  <c r="AW99" i="1"/>
  <c r="I99" i="1"/>
  <c r="I98" i="1" s="1"/>
  <c r="E37" i="2" s="1"/>
  <c r="BI97" i="1"/>
  <c r="AC97" i="1" s="1"/>
  <c r="AX97" i="1"/>
  <c r="AV97" i="1" s="1"/>
  <c r="J97" i="1"/>
  <c r="J95" i="1" s="1"/>
  <c r="F36" i="2" s="1"/>
  <c r="BH92" i="1"/>
  <c r="AB92" i="1" s="1"/>
  <c r="AW92" i="1"/>
  <c r="I92" i="1"/>
  <c r="BC80" i="1"/>
  <c r="BH78" i="1"/>
  <c r="AD78" i="1" s="1"/>
  <c r="AW78" i="1"/>
  <c r="I78" i="1"/>
  <c r="K68" i="1"/>
  <c r="G29" i="2" s="1"/>
  <c r="I29" i="2" s="1"/>
  <c r="C17" i="4"/>
  <c r="I163" i="1"/>
  <c r="I161" i="1" s="1"/>
  <c r="E49" i="2" s="1"/>
  <c r="J162" i="1"/>
  <c r="J161" i="1" s="1"/>
  <c r="F49" i="2" s="1"/>
  <c r="K159" i="1"/>
  <c r="G48" i="2" s="1"/>
  <c r="I48" i="2" s="1"/>
  <c r="I155" i="1"/>
  <c r="J154" i="1"/>
  <c r="I149" i="1"/>
  <c r="I147" i="1" s="1"/>
  <c r="E47" i="2" s="1"/>
  <c r="J148" i="1"/>
  <c r="I141" i="1"/>
  <c r="J140" i="1"/>
  <c r="I134" i="1"/>
  <c r="I133" i="1" s="1"/>
  <c r="E44" i="2" s="1"/>
  <c r="J132" i="1"/>
  <c r="I126" i="1"/>
  <c r="I122" i="1" s="1"/>
  <c r="E42" i="2" s="1"/>
  <c r="J125" i="1"/>
  <c r="I119" i="1"/>
  <c r="I118" i="1" s="1"/>
  <c r="E41" i="2" s="1"/>
  <c r="J117" i="1"/>
  <c r="J116" i="1" s="1"/>
  <c r="F40" i="2" s="1"/>
  <c r="K114" i="1"/>
  <c r="G39" i="2" s="1"/>
  <c r="I39" i="2" s="1"/>
  <c r="I110" i="1"/>
  <c r="I106" i="1" s="1"/>
  <c r="E38" i="2" s="1"/>
  <c r="J109" i="1"/>
  <c r="J106" i="1" s="1"/>
  <c r="F38" i="2" s="1"/>
  <c r="I103" i="1"/>
  <c r="AX101" i="1"/>
  <c r="J100" i="1"/>
  <c r="AT98" i="1"/>
  <c r="BC94" i="1"/>
  <c r="AV94" i="1"/>
  <c r="AU90" i="1"/>
  <c r="BH79" i="1"/>
  <c r="AD79" i="1" s="1"/>
  <c r="AW79" i="1"/>
  <c r="I79" i="1"/>
  <c r="AV75" i="1"/>
  <c r="AT72" i="1"/>
  <c r="BI69" i="1"/>
  <c r="AE69" i="1" s="1"/>
  <c r="AX69" i="1"/>
  <c r="J69" i="1"/>
  <c r="BC93" i="1"/>
  <c r="AV87" i="1"/>
  <c r="K76" i="1"/>
  <c r="G31" i="2" s="1"/>
  <c r="I31" i="2" s="1"/>
  <c r="BC74" i="1"/>
  <c r="AV74" i="1"/>
  <c r="BC73" i="1"/>
  <c r="BI70" i="1"/>
  <c r="AE70" i="1" s="1"/>
  <c r="AX70" i="1"/>
  <c r="J70" i="1"/>
  <c r="AV60" i="1"/>
  <c r="AU98" i="1"/>
  <c r="BI91" i="1"/>
  <c r="AC91" i="1" s="1"/>
  <c r="AX91" i="1"/>
  <c r="J91" i="1"/>
  <c r="J90" i="1" s="1"/>
  <c r="F35" i="2" s="1"/>
  <c r="BI77" i="1"/>
  <c r="AE77" i="1" s="1"/>
  <c r="AX77" i="1"/>
  <c r="AV77" i="1" s="1"/>
  <c r="J77" i="1"/>
  <c r="I76" i="1"/>
  <c r="E31" i="2" s="1"/>
  <c r="BH70" i="1"/>
  <c r="AD70" i="1" s="1"/>
  <c r="C16" i="4" s="1"/>
  <c r="AW70" i="1"/>
  <c r="I70" i="1"/>
  <c r="I68" i="1" s="1"/>
  <c r="E29" i="2" s="1"/>
  <c r="AU68" i="1"/>
  <c r="I67" i="1"/>
  <c r="I66" i="1" s="1"/>
  <c r="E28" i="2" s="1"/>
  <c r="AW67" i="1"/>
  <c r="J65" i="1"/>
  <c r="J58" i="1" s="1"/>
  <c r="F27" i="2" s="1"/>
  <c r="BI65" i="1"/>
  <c r="AX65" i="1"/>
  <c r="AV65" i="1" s="1"/>
  <c r="I51" i="1"/>
  <c r="AW51" i="1"/>
  <c r="AU39" i="1"/>
  <c r="C21" i="4"/>
  <c r="BH45" i="1"/>
  <c r="AB45" i="1" s="1"/>
  <c r="AW45" i="1"/>
  <c r="I45" i="1"/>
  <c r="I44" i="1" s="1"/>
  <c r="E22" i="2" s="1"/>
  <c r="AW43" i="1"/>
  <c r="I43" i="1"/>
  <c r="I39" i="1" s="1"/>
  <c r="E21" i="2" s="1"/>
  <c r="AU36" i="1"/>
  <c r="BI16" i="1"/>
  <c r="AC16" i="1" s="1"/>
  <c r="AX16" i="1"/>
  <c r="J16" i="1"/>
  <c r="J15" i="1" s="1"/>
  <c r="F13" i="2" s="1"/>
  <c r="C27" i="4"/>
  <c r="I28" i="4" s="1"/>
  <c r="BH62" i="1"/>
  <c r="AW62" i="1"/>
  <c r="AW56" i="1"/>
  <c r="AX54" i="1"/>
  <c r="BI50" i="1"/>
  <c r="AC50" i="1" s="1"/>
  <c r="AV50" i="1"/>
  <c r="AU44" i="1"/>
  <c r="AV38" i="1"/>
  <c r="AT36" i="1"/>
  <c r="K36" i="1"/>
  <c r="G20" i="2" s="1"/>
  <c r="I20" i="2" s="1"/>
  <c r="BI31" i="1"/>
  <c r="AC31" i="1" s="1"/>
  <c r="AV31" i="1"/>
  <c r="AX23" i="1"/>
  <c r="AV23" i="1" s="1"/>
  <c r="J23" i="1"/>
  <c r="BH16" i="1"/>
  <c r="AB16" i="1" s="1"/>
  <c r="AW16" i="1"/>
  <c r="I16" i="1"/>
  <c r="I15" i="1" s="1"/>
  <c r="E13" i="2" s="1"/>
  <c r="C20" i="4"/>
  <c r="K95" i="1"/>
  <c r="G36" i="2" s="1"/>
  <c r="I36" i="2" s="1"/>
  <c r="AX67" i="1"/>
  <c r="AX60" i="1"/>
  <c r="BC60" i="1" s="1"/>
  <c r="J60" i="1"/>
  <c r="AX59" i="1"/>
  <c r="AV59" i="1" s="1"/>
  <c r="J54" i="1"/>
  <c r="J53" i="1" s="1"/>
  <c r="F25" i="2" s="1"/>
  <c r="BI52" i="1"/>
  <c r="AC52" i="1" s="1"/>
  <c r="AX52" i="1"/>
  <c r="AT44" i="1"/>
  <c r="AX42" i="1"/>
  <c r="AV42" i="1" s="1"/>
  <c r="J42" i="1"/>
  <c r="J39" i="1" s="1"/>
  <c r="F21" i="2" s="1"/>
  <c r="AX41" i="1"/>
  <c r="AV41" i="1" s="1"/>
  <c r="AV27" i="1"/>
  <c r="AU24" i="1"/>
  <c r="BC22" i="1"/>
  <c r="AL16" i="1"/>
  <c r="AU15" i="1" s="1"/>
  <c r="C19" i="4"/>
  <c r="K66" i="1"/>
  <c r="G28" i="2" s="1"/>
  <c r="I28" i="2" s="1"/>
  <c r="AW63" i="1"/>
  <c r="BC59" i="1"/>
  <c r="BH54" i="1"/>
  <c r="AB54" i="1" s="1"/>
  <c r="AW54" i="1"/>
  <c r="I54" i="1"/>
  <c r="I53" i="1" s="1"/>
  <c r="E25" i="2" s="1"/>
  <c r="AW52" i="1"/>
  <c r="I52" i="1"/>
  <c r="J52" i="1"/>
  <c r="K49" i="1"/>
  <c r="G24" i="2" s="1"/>
  <c r="I24" i="2" s="1"/>
  <c r="BC41" i="1"/>
  <c r="AS39" i="1"/>
  <c r="AW33" i="1"/>
  <c r="K30" i="1"/>
  <c r="BI26" i="1"/>
  <c r="AC26" i="1" s="1"/>
  <c r="AX26" i="1"/>
  <c r="J26" i="1"/>
  <c r="BI25" i="1"/>
  <c r="AC25" i="1" s="1"/>
  <c r="AX25" i="1"/>
  <c r="J25" i="1"/>
  <c r="J24" i="1" s="1"/>
  <c r="F16" i="2" s="1"/>
  <c r="AV22" i="1"/>
  <c r="BC20" i="1"/>
  <c r="BI14" i="1"/>
  <c r="AC14" i="1" s="1"/>
  <c r="AX14" i="1"/>
  <c r="J14" i="1"/>
  <c r="J13" i="1" s="1"/>
  <c r="C18" i="4"/>
  <c r="BI67" i="1"/>
  <c r="BI61" i="1"/>
  <c r="AX61" i="1"/>
  <c r="BI59" i="1"/>
  <c r="I56" i="1"/>
  <c r="I55" i="1" s="1"/>
  <c r="E26" i="2" s="1"/>
  <c r="AX45" i="1"/>
  <c r="BI41" i="1"/>
  <c r="AC41" i="1" s="1"/>
  <c r="I38" i="1"/>
  <c r="J37" i="1"/>
  <c r="J36" i="1" s="1"/>
  <c r="F20" i="2" s="1"/>
  <c r="BI35" i="1"/>
  <c r="AC35" i="1" s="1"/>
  <c r="AX35" i="1"/>
  <c r="I27" i="1"/>
  <c r="BH26" i="1"/>
  <c r="AB26" i="1" s="1"/>
  <c r="AW26" i="1"/>
  <c r="I26" i="1"/>
  <c r="AW25" i="1"/>
  <c r="I25" i="1"/>
  <c r="J21" i="1"/>
  <c r="F15" i="2" s="1"/>
  <c r="BH18" i="1"/>
  <c r="AB18" i="1" s="1"/>
  <c r="AW18" i="1"/>
  <c r="I18" i="1"/>
  <c r="I17" i="1" s="1"/>
  <c r="E14" i="2" s="1"/>
  <c r="AW14" i="1"/>
  <c r="I14" i="1"/>
  <c r="I13" i="1" s="1"/>
  <c r="C29" i="4"/>
  <c r="AW61" i="1"/>
  <c r="I61" i="1"/>
  <c r="I58" i="1" s="1"/>
  <c r="E27" i="2" s="1"/>
  <c r="AT55" i="1"/>
  <c r="AX51" i="1"/>
  <c r="J51" i="1"/>
  <c r="J49" i="1" s="1"/>
  <c r="F24" i="2" s="1"/>
  <c r="J45" i="1"/>
  <c r="J44" i="1" s="1"/>
  <c r="F22" i="2" s="1"/>
  <c r="BI43" i="1"/>
  <c r="AC43" i="1" s="1"/>
  <c r="AX43" i="1"/>
  <c r="BH37" i="1"/>
  <c r="AB37" i="1" s="1"/>
  <c r="C14" i="4" s="1"/>
  <c r="AW37" i="1"/>
  <c r="I37" i="1"/>
  <c r="I36" i="1" s="1"/>
  <c r="E20" i="2" s="1"/>
  <c r="AW35" i="1"/>
  <c r="I35" i="1"/>
  <c r="I34" i="1" s="1"/>
  <c r="E19" i="2" s="1"/>
  <c r="AX33" i="1"/>
  <c r="J33" i="1"/>
  <c r="J30" i="1" s="1"/>
  <c r="F18" i="2" s="1"/>
  <c r="C28" i="4"/>
  <c r="F28" i="4" s="1"/>
  <c r="F29" i="4"/>
  <c r="J213" i="1" l="1"/>
  <c r="F59" i="2" s="1"/>
  <c r="F60" i="2"/>
  <c r="J185" i="1"/>
  <c r="F52" i="2" s="1"/>
  <c r="F53" i="2"/>
  <c r="AV112" i="1"/>
  <c r="BC112" i="1"/>
  <c r="AV101" i="1"/>
  <c r="BC101" i="1"/>
  <c r="BC154" i="1"/>
  <c r="AV154" i="1"/>
  <c r="AV207" i="1"/>
  <c r="BC207" i="1"/>
  <c r="AV192" i="1"/>
  <c r="BC192" i="1"/>
  <c r="AV18" i="1"/>
  <c r="BC18" i="1"/>
  <c r="AV26" i="1"/>
  <c r="BC26" i="1"/>
  <c r="F12" i="2"/>
  <c r="BC33" i="1"/>
  <c r="AV33" i="1"/>
  <c r="AV52" i="1"/>
  <c r="BC52" i="1"/>
  <c r="AV43" i="1"/>
  <c r="BC43" i="1"/>
  <c r="BC51" i="1"/>
  <c r="AV51" i="1"/>
  <c r="J76" i="1"/>
  <c r="F31" i="2" s="1"/>
  <c r="I90" i="1"/>
  <c r="J118" i="1"/>
  <c r="F41" i="2" s="1"/>
  <c r="AV174" i="1"/>
  <c r="BC174" i="1"/>
  <c r="AV201" i="1"/>
  <c r="BC201" i="1"/>
  <c r="BC171" i="1"/>
  <c r="BC103" i="1"/>
  <c r="K185" i="1"/>
  <c r="G52" i="2" s="1"/>
  <c r="G53" i="2"/>
  <c r="I53" i="2" s="1"/>
  <c r="I186" i="1"/>
  <c r="AV111" i="1"/>
  <c r="BC111" i="1"/>
  <c r="AV211" i="1"/>
  <c r="BC211" i="1"/>
  <c r="AV150" i="1"/>
  <c r="BC150" i="1"/>
  <c r="BC25" i="1"/>
  <c r="AV25" i="1"/>
  <c r="BC42" i="1"/>
  <c r="AV156" i="1"/>
  <c r="BC156" i="1"/>
  <c r="AV193" i="1"/>
  <c r="BC193" i="1"/>
  <c r="AV127" i="1"/>
  <c r="BC127" i="1"/>
  <c r="K84" i="1"/>
  <c r="G32" i="2" s="1"/>
  <c r="AV63" i="1"/>
  <c r="BC63" i="1"/>
  <c r="AV16" i="1"/>
  <c r="BC16" i="1"/>
  <c r="BC67" i="1"/>
  <c r="AV67" i="1"/>
  <c r="AV92" i="1"/>
  <c r="BC92" i="1"/>
  <c r="AV99" i="1"/>
  <c r="BC99" i="1"/>
  <c r="AV137" i="1"/>
  <c r="BC137" i="1"/>
  <c r="AV143" i="1"/>
  <c r="BC143" i="1"/>
  <c r="AV104" i="1"/>
  <c r="BC104" i="1"/>
  <c r="AV35" i="1"/>
  <c r="BC35" i="1"/>
  <c r="AV61" i="1"/>
  <c r="BC61" i="1"/>
  <c r="AV56" i="1"/>
  <c r="BC56" i="1"/>
  <c r="I49" i="1"/>
  <c r="E24" i="2" s="1"/>
  <c r="J68" i="1"/>
  <c r="F29" i="2" s="1"/>
  <c r="AV79" i="1"/>
  <c r="BC79" i="1"/>
  <c r="AV78" i="1"/>
  <c r="BC78" i="1"/>
  <c r="AV121" i="1"/>
  <c r="BC121" i="1"/>
  <c r="AV144" i="1"/>
  <c r="BC144" i="1"/>
  <c r="BC97" i="1"/>
  <c r="AV153" i="1"/>
  <c r="AV91" i="1"/>
  <c r="BC91" i="1"/>
  <c r="AV135" i="1"/>
  <c r="BC135" i="1"/>
  <c r="AV210" i="1"/>
  <c r="BC210" i="1"/>
  <c r="BC155" i="1"/>
  <c r="AV172" i="1"/>
  <c r="BC172" i="1"/>
  <c r="AV216" i="1"/>
  <c r="BC216" i="1"/>
  <c r="AV205" i="1"/>
  <c r="G18" i="2"/>
  <c r="I18" i="2" s="1"/>
  <c r="K220" i="1"/>
  <c r="K12" i="1"/>
  <c r="G11" i="2" s="1"/>
  <c r="AV62" i="1"/>
  <c r="BC62" i="1"/>
  <c r="BC69" i="1"/>
  <c r="AV69" i="1"/>
  <c r="BC141" i="1"/>
  <c r="AV151" i="1"/>
  <c r="BC151" i="1"/>
  <c r="BC83" i="1"/>
  <c r="AV83" i="1"/>
  <c r="BC14" i="1"/>
  <c r="AV14" i="1"/>
  <c r="F33" i="2"/>
  <c r="BC187" i="1"/>
  <c r="AV187" i="1"/>
  <c r="AV180" i="1"/>
  <c r="BC180" i="1"/>
  <c r="BC182" i="1"/>
  <c r="AV182" i="1"/>
  <c r="C15" i="4"/>
  <c r="C22" i="4" s="1"/>
  <c r="AV54" i="1"/>
  <c r="BC54" i="1"/>
  <c r="AV45" i="1"/>
  <c r="BC45" i="1"/>
  <c r="AV105" i="1"/>
  <c r="BC105" i="1"/>
  <c r="AV181" i="1"/>
  <c r="BC181" i="1"/>
  <c r="AV209" i="1"/>
  <c r="BC209" i="1"/>
  <c r="AV215" i="1"/>
  <c r="BC215" i="1"/>
  <c r="I213" i="1"/>
  <c r="E59" i="2" s="1"/>
  <c r="E60" i="2"/>
  <c r="BC23" i="1"/>
  <c r="AV37" i="1"/>
  <c r="BC37" i="1"/>
  <c r="I12" i="1"/>
  <c r="E11" i="2" s="1"/>
  <c r="E12" i="2"/>
  <c r="I24" i="1"/>
  <c r="E16" i="2" s="1"/>
  <c r="BC65" i="1"/>
  <c r="AV70" i="1"/>
  <c r="BC70" i="1"/>
  <c r="J147" i="1"/>
  <c r="F47" i="2" s="1"/>
  <c r="AV129" i="1"/>
  <c r="BC129" i="1"/>
  <c r="J98" i="1"/>
  <c r="F37" i="2" s="1"/>
  <c r="AV120" i="1"/>
  <c r="BC120" i="1"/>
  <c r="AV168" i="1"/>
  <c r="BC168" i="1"/>
  <c r="BC184" i="1"/>
  <c r="AV173" i="1"/>
  <c r="BC173" i="1"/>
  <c r="AV200" i="1"/>
  <c r="BC200" i="1"/>
  <c r="BC89" i="1"/>
  <c r="AV89" i="1"/>
  <c r="AV71" i="1"/>
  <c r="BC71" i="1"/>
  <c r="K213" i="1"/>
  <c r="G59" i="2" s="1"/>
  <c r="G60" i="2"/>
  <c r="I60" i="2" s="1"/>
  <c r="I29" i="4"/>
  <c r="J84" i="1" l="1"/>
  <c r="F32" i="2" s="1"/>
  <c r="I185" i="1"/>
  <c r="E52" i="2" s="1"/>
  <c r="E53" i="2"/>
  <c r="G62" i="2"/>
  <c r="J12" i="1"/>
  <c r="F11" i="2" s="1"/>
  <c r="E35" i="2"/>
  <c r="I84" i="1"/>
  <c r="E32" i="2" s="1"/>
</calcChain>
</file>

<file path=xl/sharedStrings.xml><?xml version="1.0" encoding="utf-8"?>
<sst xmlns="http://schemas.openxmlformats.org/spreadsheetml/2006/main" count="3222" uniqueCount="711">
  <si>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</si>
  <si>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</si>
  <si>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</si>
  <si>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</si>
  <si>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</si>
  <si>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</si>
  <si>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</si>
  <si>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</si>
  <si>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</si>
  <si>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</si>
  <si>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</si>
  <si>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</si>
  <si>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</si>
  <si>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</si>
  <si>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</si>
  <si>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</si>
  <si>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</si>
  <si>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</si>
  <si>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</si>
  <si>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</si>
  <si>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</si>
  <si>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</si>
  <si>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</si>
  <si>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</si>
  <si>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</si>
  <si>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</si>
  <si>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</si>
  <si>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</si>
  <si>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</si>
  <si>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</si>
  <si>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</si>
  <si>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</si>
  <si>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</si>
  <si>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</si>
  <si>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</si>
  <si>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</si>
  <si>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</si>
  <si>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</si>
  <si>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</si>
  <si>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</si>
  <si>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</si>
  <si>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</si>
  <si>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</si>
  <si>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</si>
  <si>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</si>
  <si>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</si>
  <si>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</si>
  <si>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</si>
  <si>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</si>
  <si>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</si>
  <si>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</si>
  <si>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</si>
  <si>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</si>
  <si>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</si>
  <si>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</si>
  <si>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</si>
  <si>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</si>
  <si>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</si>
  <si>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</si>
  <si>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</si>
  <si>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</si>
  <si>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</si>
  <si>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</si>
  <si>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</si>
  <si>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</si>
  <si>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</si>
  <si>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</si>
  <si>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</si>
  <si>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</si>
  <si>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</si>
  <si>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</si>
  <si>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</si>
  <si>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</si>
  <si>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</si>
  <si>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</si>
  <si>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</si>
  <si>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</si>
  <si>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</si>
  <si>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</si>
  <si>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</si>
  <si>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</si>
  <si>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</si>
  <si>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</si>
  <si>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</si>
  <si>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</si>
  <si>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</si>
  <si>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</si>
  <si>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</si>
  <si>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</si>
  <si>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</si>
  <si>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</si>
  <si>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</si>
  <si>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</si>
  <si>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</si>
  <si>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</si>
  <si>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</si>
  <si>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</si>
  <si>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</si>
  <si>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</si>
  <si>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</si>
  <si>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</si>
  <si>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</si>
  <si>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</si>
  <si>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</si>
  <si>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</si>
  <si>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</si>
  <si>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</si>
  <si>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</si>
  <si>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</si>
  <si>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</si>
  <si>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</si>
  <si>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</si>
  <si>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</si>
  <si>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</si>
  <si>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</si>
  <si>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</si>
  <si>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</si>
  <si>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</si>
  <si>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</si>
  <si>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</si>
  <si>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</si>
  <si>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</si>
  <si>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</si>
  <si>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</si>
  <si>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</si>
  <si>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</si>
  <si>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</si>
  <si>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</si>
  <si>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</si>
  <si>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</si>
  <si>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</si>
  <si>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</si>
  <si>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</si>
  <si>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</si>
  <si>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</si>
  <si>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</si>
  <si>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</si>
  <si>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</si>
  <si>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</si>
  <si>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</si>
  <si>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</si>
  <si>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</si>
  <si>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</si>
  <si>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</si>
  <si>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</si>
  <si>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</si>
  <si>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</si>
  <si>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</si>
  <si>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</si>
  <si>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</si>
  <si>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</si>
  <si>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</si>
  <si>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</si>
  <si>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</si>
  <si>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</si>
  <si>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</si>
  <si>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</si>
  <si>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</si>
  <si>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</si>
  <si>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</si>
  <si>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</si>
  <si>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</si>
  <si>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</si>
  <si>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Poznámka:</t>
  </si>
  <si>
    <t>Kód</t>
  </si>
  <si>
    <t>110100102R09</t>
  </si>
  <si>
    <t>121101101R00</t>
  </si>
  <si>
    <t>132201210R00</t>
  </si>
  <si>
    <t>Varianta:</t>
  </si>
  <si>
    <t>132201219R00</t>
  </si>
  <si>
    <t>162601102R00</t>
  </si>
  <si>
    <t>167101101R00</t>
  </si>
  <si>
    <t>171201201R00</t>
  </si>
  <si>
    <t>199000001R00</t>
  </si>
  <si>
    <t>199000002R00</t>
  </si>
  <si>
    <t>180405110RA1</t>
  </si>
  <si>
    <t>212850001RAA</t>
  </si>
  <si>
    <t>215901101RT5</t>
  </si>
  <si>
    <t>564841111RT1</t>
  </si>
  <si>
    <t>596811111R00</t>
  </si>
  <si>
    <t>592453331</t>
  </si>
  <si>
    <t>602021102R00</t>
  </si>
  <si>
    <t>602021103R00</t>
  </si>
  <si>
    <t>602021114RT3</t>
  </si>
  <si>
    <t>602021151RT3</t>
  </si>
  <si>
    <t>622903111R00</t>
  </si>
  <si>
    <t>627991006R00</t>
  </si>
  <si>
    <t>721242110RT1</t>
  </si>
  <si>
    <t>916561111R00</t>
  </si>
  <si>
    <t>592173070</t>
  </si>
  <si>
    <t>918101111R00</t>
  </si>
  <si>
    <t>941955002R00</t>
  </si>
  <si>
    <t>978013191R00</t>
  </si>
  <si>
    <t>978023251R00</t>
  </si>
  <si>
    <t>S</t>
  </si>
  <si>
    <t>979081111R00</t>
  </si>
  <si>
    <t>979081121R00</t>
  </si>
  <si>
    <t>979086112R00</t>
  </si>
  <si>
    <t>979087311R00</t>
  </si>
  <si>
    <t>979087391R00</t>
  </si>
  <si>
    <t>979093111R00</t>
  </si>
  <si>
    <t>979990101R00</t>
  </si>
  <si>
    <t>H99</t>
  </si>
  <si>
    <t>999281105R00</t>
  </si>
  <si>
    <t>711</t>
  </si>
  <si>
    <t>711132311R00</t>
  </si>
  <si>
    <t>28323125</t>
  </si>
  <si>
    <t>998711101R00</t>
  </si>
  <si>
    <t>764</t>
  </si>
  <si>
    <t>764816420R00</t>
  </si>
  <si>
    <t>13233662</t>
  </si>
  <si>
    <t>998764101R00</t>
  </si>
  <si>
    <t>784</t>
  </si>
  <si>
    <t>784011111R00</t>
  </si>
  <si>
    <t>784011121R00</t>
  </si>
  <si>
    <t>784011222RT2</t>
  </si>
  <si>
    <t>784111101R00</t>
  </si>
  <si>
    <t>784125412R00</t>
  </si>
  <si>
    <t>784402801R00</t>
  </si>
  <si>
    <t>784411301R00</t>
  </si>
  <si>
    <t>113109420R00</t>
  </si>
  <si>
    <t>113109520RT3</t>
  </si>
  <si>
    <t>417321414R00</t>
  </si>
  <si>
    <t>417351115R00</t>
  </si>
  <si>
    <t>417351116R00</t>
  </si>
  <si>
    <t>417361821R00</t>
  </si>
  <si>
    <t>564821111RT4</t>
  </si>
  <si>
    <t>596215040R00</t>
  </si>
  <si>
    <t>592451187</t>
  </si>
  <si>
    <t>596291113R00</t>
  </si>
  <si>
    <t>597092111RT1</t>
  </si>
  <si>
    <t>597092121RT2</t>
  </si>
  <si>
    <t>602021119RT8</t>
  </si>
  <si>
    <t>602021119RT5</t>
  </si>
  <si>
    <t>602021191R00</t>
  </si>
  <si>
    <t>602021189R00</t>
  </si>
  <si>
    <t>602021147R00</t>
  </si>
  <si>
    <t>602021148RT2</t>
  </si>
  <si>
    <t>614471812R00</t>
  </si>
  <si>
    <t>631342941RT1</t>
  </si>
  <si>
    <t>632418150RV1</t>
  </si>
  <si>
    <t>632418115RT1</t>
  </si>
  <si>
    <t>831350111RAC</t>
  </si>
  <si>
    <t>894481310RA0</t>
  </si>
  <si>
    <t>894481340RA1</t>
  </si>
  <si>
    <t>919735124R00</t>
  </si>
  <si>
    <t>938906111RT1</t>
  </si>
  <si>
    <t>938906111RT5</t>
  </si>
  <si>
    <t>965031121R00</t>
  </si>
  <si>
    <t>965043321RT1</t>
  </si>
  <si>
    <t>965049111RT1</t>
  </si>
  <si>
    <t>965081702R00</t>
  </si>
  <si>
    <t>965081712RT1</t>
  </si>
  <si>
    <t>978059531R00</t>
  </si>
  <si>
    <t>979990103R00</t>
  </si>
  <si>
    <t>979990105R00</t>
  </si>
  <si>
    <t>979990108R00</t>
  </si>
  <si>
    <t>979990111R00</t>
  </si>
  <si>
    <t>771</t>
  </si>
  <si>
    <t>771101210R00</t>
  </si>
  <si>
    <t>771130111R00</t>
  </si>
  <si>
    <t>597623141</t>
  </si>
  <si>
    <t>771479001R00</t>
  </si>
  <si>
    <t>771575109R00</t>
  </si>
  <si>
    <t>771578011RT4</t>
  </si>
  <si>
    <t>771579791R00</t>
  </si>
  <si>
    <t>771579793RT5</t>
  </si>
  <si>
    <t>998771101R00</t>
  </si>
  <si>
    <t>781</t>
  </si>
  <si>
    <t>781101210R00</t>
  </si>
  <si>
    <t>781210131R00</t>
  </si>
  <si>
    <t>597813669</t>
  </si>
  <si>
    <t>781419708R00</t>
  </si>
  <si>
    <t>781491001RT1</t>
  </si>
  <si>
    <t>59760147.A</t>
  </si>
  <si>
    <t>59760147.B</t>
  </si>
  <si>
    <t>998781101R00</t>
  </si>
  <si>
    <t>941955003R00</t>
  </si>
  <si>
    <t>941955004R00</t>
  </si>
  <si>
    <t>VRN</t>
  </si>
  <si>
    <t>005121010R</t>
  </si>
  <si>
    <t>005122010R</t>
  </si>
  <si>
    <t>005124010R</t>
  </si>
  <si>
    <t>005231010R</t>
  </si>
  <si>
    <t>005241010R</t>
  </si>
  <si>
    <t>TECHNICKÉ ŘEŠENÍ VLHKOSTNÍCH PORUCH SUTERÉNNÍCH ZDÍ</t>
  </si>
  <si>
    <t>ZŠ U LESA, BOŽENY NĚMCOVÉ 539, NOVÝ BOR 473 01</t>
  </si>
  <si>
    <t>Zkrácený popis / Varianta</t>
  </si>
  <si>
    <t>Rozměry</t>
  </si>
  <si>
    <t>Jižní fasáda</t>
  </si>
  <si>
    <t>Přípravné a přidružené práce</t>
  </si>
  <si>
    <t>Vytýčení stávajících sítí</t>
  </si>
  <si>
    <t>Odkopávky a prokopávky</t>
  </si>
  <si>
    <t>Sejmutí ornice s přemístěním do 50 m</t>
  </si>
  <si>
    <t>Hloubené vykopávky</t>
  </si>
  <si>
    <t>Hloubení rýh š.do 200 cm hor.3 do 50 m3</t>
  </si>
  <si>
    <t>průměrná hloubka výkopu: (0,414+0,38+0,45+0,42)/4 = 0,416</t>
  </si>
  <si>
    <t>Přípl.za lepivost,hloubení rýh 200cm,hor.3</t>
  </si>
  <si>
    <t>Přemístění výkopku</t>
  </si>
  <si>
    <t>Vodorovné přemístění výkopku z hor.1-4 do 5000 m</t>
  </si>
  <si>
    <t>Nakládání výkopku z hor.1-4 v množství do 100 m3 (vč.přebytečné ornice)</t>
  </si>
  <si>
    <t>Konstrukce ze zemin</t>
  </si>
  <si>
    <t>Uložení sypaniny na skl.-sypanina na výšku přes 2m</t>
  </si>
  <si>
    <t>Poplatek za skládku - ornice</t>
  </si>
  <si>
    <t>Poplatek za skládku horniny 1- 4</t>
  </si>
  <si>
    <t>Povrchové úpravy terénu</t>
  </si>
  <si>
    <t>Ohumusování, osetí travním semenem dotčené části po opravách</t>
  </si>
  <si>
    <t>Úprava podloží a základové spáry</t>
  </si>
  <si>
    <t>Drenáž podél objektu z dren. trub d 100 mm</t>
  </si>
  <si>
    <t>lože, obsyp kamenivo, geotextilie</t>
  </si>
  <si>
    <t>Zhutnění podloží z hornin nesoudržných vibrační deskou</t>
  </si>
  <si>
    <t>Podkladní vrstvy komunikací, letišť a ploch</t>
  </si>
  <si>
    <t>Podklad ze štěrkodrti po zhutnění tloušťky 12 cm, štěrkodrť frakce 8-16 mm</t>
  </si>
  <si>
    <t>Kryty pozemních komunikací, letišť a ploch dlážděných (předlažby)</t>
  </si>
  <si>
    <t>Kladení dlaždic kom.pro pěší, lože z kameniva těž. fr.0-4 tl.30 mm</t>
  </si>
  <si>
    <t>Dlaždice betonová HBB 50x50x5 cm hladká</t>
  </si>
  <si>
    <t>Omítky ze suchých směsí</t>
  </si>
  <si>
    <t>Zaplnění spár omítkovinou např.Baumit Sanova S 100% krytí, ručně -dle SK.01 3/</t>
  </si>
  <si>
    <t>Přednástřik stěn např.Baumit Sanova Pre 100% krytí, ručně -dle SK.01 3/</t>
  </si>
  <si>
    <t>Omítka jádrová sanační např.Baumit Sanova S, ručně, tloušťka vrstvy 20-25 mm -dle SK.01 3/</t>
  </si>
  <si>
    <t>Štuk stěn sanační např.Baumit Sanova Fine, ručně, tloušťka vrstvy 2-3 mm -dle SK.01 3/</t>
  </si>
  <si>
    <t>Úprava povrchů vnější</t>
  </si>
  <si>
    <t>Očištění zdí a valů před opravou, ručně</t>
  </si>
  <si>
    <t>Těsnění spár tmelem PU profil do 4 cm2 -dle detailu DET.01</t>
  </si>
  <si>
    <t>Ostatní konstrukce a práce na trubním vedení</t>
  </si>
  <si>
    <t>Napojení dešťových svodů vč.pročištění ústí kanalizace</t>
  </si>
  <si>
    <t>Doplňující konstrukce a práce na pozemních komunikacích a zpevněných plochách</t>
  </si>
  <si>
    <t>Osazení záhon.obrubníků do lože z C 12/15 s opěrou</t>
  </si>
  <si>
    <t>Obrubník záhonový 50/5/20 cm šedý</t>
  </si>
  <si>
    <t>Lože pod obrubníky nebo obruby dlažeb z C 12/15</t>
  </si>
  <si>
    <t>Lešení a stavební výtahy</t>
  </si>
  <si>
    <t>Lešení lehké pomocné, výška podlahy do 1,9 m</t>
  </si>
  <si>
    <t>Prorážení otvorů a ostatní bourací práce</t>
  </si>
  <si>
    <t>Otlučení omítek vnitřních stěn v rozsahu do 100 % -dle SK.01 1/</t>
  </si>
  <si>
    <t>Vysekání a úprava spár zdiva kamenného režného -dle SK.01 2/</t>
  </si>
  <si>
    <t>Přesuny sutí</t>
  </si>
  <si>
    <t>Odvoz suti a vybour. hmot na skládku do 1 km</t>
  </si>
  <si>
    <t>Příplatek k odvozu za každý další 1 km</t>
  </si>
  <si>
    <t>Nakládání nebo překládání suti a vybouraných hmot</t>
  </si>
  <si>
    <t>Vodorovné přemístění suti nošením do 10 m</t>
  </si>
  <si>
    <t>Příplatek za nošení suti každých dalších 10 m</t>
  </si>
  <si>
    <t>Uložení suti na skládku bez zhutnění</t>
  </si>
  <si>
    <t>Poplatek za sklád.suti-směs malta, omítky apod.</t>
  </si>
  <si>
    <t>Ostatní přesuny hmot</t>
  </si>
  <si>
    <t>Přesun hmot pro opravy a údržbu do výšky 6 m</t>
  </si>
  <si>
    <t>Izolace proti vodě</t>
  </si>
  <si>
    <t>Prov. izolace nopovou fólií svisle, vč.uchyc.prvků</t>
  </si>
  <si>
    <t>Fólie nopová T20 tl. 1,0 mm š. 1,2m</t>
  </si>
  <si>
    <t>Přesun hmot pro izolace proti vodě, výšky do 6 m</t>
  </si>
  <si>
    <t>Konstrukce klempířské</t>
  </si>
  <si>
    <t>Okapnice z lakovaného Pz plechu, rš 200 mm (167 mm) -dle detailu DET.01</t>
  </si>
  <si>
    <t>Úhelník nerovnoramenný L jakost S235  50x30x4 mm -dle detailu DET.01</t>
  </si>
  <si>
    <t>Přesun hmot pro klempířské konstr., výšky do 6 m</t>
  </si>
  <si>
    <t>Malby</t>
  </si>
  <si>
    <t>Oprášení/ometení podkladu</t>
  </si>
  <si>
    <t>Broušení štuků a nových omítek</t>
  </si>
  <si>
    <t>Zakrytí podlah, včetně papírové lepenky -pruh š.2 m</t>
  </si>
  <si>
    <t>Penetrace podkladu 1 x</t>
  </si>
  <si>
    <t>Malba paropropustná minerální, např.Baumit Sanova Color, bílá, bez penetrace, 2x -dle SK.01 3/</t>
  </si>
  <si>
    <t>Odstranění malby oškrábáním v místnosti H do 3,8 m</t>
  </si>
  <si>
    <t>Pačokování 1x, obrus, sádra, místnosti H do 3,8 m</t>
  </si>
  <si>
    <t>Severní fasáda ve dvoře</t>
  </si>
  <si>
    <t>Odstranění podkladu-betonová vrstva bez kamenného koberce, pl.nad 50 m2</t>
  </si>
  <si>
    <t>Odstranění podkladu-betonová vrstva s kamenným kobercem, pl.do 50 m2</t>
  </si>
  <si>
    <t>Stropy a stropní konstrukce (pro pozemní stavby)</t>
  </si>
  <si>
    <t>Ztužující pásy a věnce z betonu železového C 25/30</t>
  </si>
  <si>
    <t>Bednění ztužujících pásů a věnců - zřízení</t>
  </si>
  <si>
    <t>Bednění ztužujících pásů a věnců - odstranění</t>
  </si>
  <si>
    <t>Výztuž ztužujících pásů a věnců z oceli 10505(R)  -R12+R6</t>
  </si>
  <si>
    <t>Podklad ze štěrkodrti po zhutnění tloušťky 8 cm, štěrkodrť frakce 8-16 mm</t>
  </si>
  <si>
    <t>Kladení dlažby tl. 8 cm do drtě tl. 4 cm</t>
  </si>
  <si>
    <t>Dlažba betonová, kostky 10x10x8 cm přírodní, Impregnace Protect System IN</t>
  </si>
  <si>
    <t>Řezání dlažby tl. 80 mm</t>
  </si>
  <si>
    <t>Žlab odvodňovací ACO DRAIN ML V 100 S, A15, B125 -úplné provedení</t>
  </si>
  <si>
    <t>Napojení žlabu na stáv.kanalizaci</t>
  </si>
  <si>
    <t>Přednástřik stěn např.Baumit Sanova Pre 100% krytí, ručně -dle SK.02 4/ -spojovací můstek</t>
  </si>
  <si>
    <t>Omítka jádrová např.Baumit Manu 2, zrno 2 mm, ručně, tloušťka vrstvy 20-25 mm -dle SK.02 4/</t>
  </si>
  <si>
    <t>Omítka jádrová např.Baumit Manu 2, zrno 2 mm, ručně, tloušťka vrstvy 20 mm -zaplnění spár -dle SK.02 4/</t>
  </si>
  <si>
    <t>Podkladní nátěr stěn pod omítky např.Baumit UniPrimer -dle SK.02 4/ A/</t>
  </si>
  <si>
    <t>Stěrka na stěnách mozaiková např.Baumit MosaikTop -dle SK.02 4/ A/</t>
  </si>
  <si>
    <t>Stěrka stěn s hydraul.pojivem např.Baumit Sanova Protect, ručně -dle SK.02 4/</t>
  </si>
  <si>
    <t>Stěrka stěn vyrovnávací -pod obklady, ručně -dle SK.02 4/ B/</t>
  </si>
  <si>
    <t>Úprava povrchů vnitřní</t>
  </si>
  <si>
    <t>Zapravení zdiva větrací mezery vápcem.omítkou -po vybourání cihel.záklopu</t>
  </si>
  <si>
    <t>Těsnění spár tmelem PU profil do 4 cm2 -dle detailu DET.02</t>
  </si>
  <si>
    <t>Podlahy a podlahové konstrukce</t>
  </si>
  <si>
    <t>Mazanina z plastbetonu -zálivka -šíře 75 mm,  tl. 150 mm</t>
  </si>
  <si>
    <t>Potěr ze SMS např.Baumit, ruční zpracování, tl. 50 mm, např.cementový potěr E 225 -dle SK.03 4/</t>
  </si>
  <si>
    <t>Potěr ze SMS např.Baumit, ruční zprac., tl. 15 mm, např.Nivello Quattro samonivel., vč. penetrace Grund -dle SK.03 4/</t>
  </si>
  <si>
    <t>Napojení dešťových svodů vč.dodávky lapačů střeš.splavenin a pročištění ústí kanalizace</t>
  </si>
  <si>
    <t>Napojení svodu - kanalizace z trub PVC, D 125 mm, rýha šířky 0,6 m, hloubky 1,5 m</t>
  </si>
  <si>
    <t>Zprůchodnění stáv.areál.dešť.kanalizace -kontrola, vyčištění -u kotelny</t>
  </si>
  <si>
    <t>Zprůchodnění stáv.areál.dešť.kanalizace -kontrola, vyčištění -ve dvoře</t>
  </si>
  <si>
    <t>Zprůchodnění kanal.šachty a odtoku z kanálu -kontrola, vyčištění</t>
  </si>
  <si>
    <t>Řezání stávajícího betonového krytu tl. 15 - 20 cm</t>
  </si>
  <si>
    <t>Různé dokončovací konstrukce a práce inženýrských staveb</t>
  </si>
  <si>
    <t>Vyčištění stávajících odvětrávacích šachet od štěrku, písku a pod.</t>
  </si>
  <si>
    <t>Vyčištění stávající větrací mezery od štěrku, písku a pod.</t>
  </si>
  <si>
    <t>Bourání konstrukcí</t>
  </si>
  <si>
    <t>Bourání podlah z cihel na plocho, plochy do 1 m2 -odbourání cihelného záklopu nad větrací mezerou</t>
  </si>
  <si>
    <t>Bourání podkladů bet., potěr, tl, 10 cm, pl. 1 m2, mazanina tl. 5 - 8 cm s potěrem -dle SK.03 2/</t>
  </si>
  <si>
    <t>Příplatek, bourání mazanin se svař. síťí tl. 10 cm, jednostranná výztuž svařovanou sítí</t>
  </si>
  <si>
    <t>Bourání soklíků z dlažeb keramických -dle SK.03 1/</t>
  </si>
  <si>
    <t>Bourání dlažeb keramických tl.10 mm, pl. do 1 m2, ručně, dlaždice keramické -dle SK.03 1/</t>
  </si>
  <si>
    <t>Otlučení omítek vnitřních stěn v rozsahu do 100 % -dle SK.02 1/</t>
  </si>
  <si>
    <t>Otlučení omítek vnitřních stěn v rozsahu do 100 % -dle SK.02 1/ -pod obklady</t>
  </si>
  <si>
    <t>Vysekání a úprava spár zdiva kamenného režného -dle SK.02 2/</t>
  </si>
  <si>
    <t>Odsekání vnitřních obkladů stěn nad 2 m2</t>
  </si>
  <si>
    <t>Poplatek za sklád.suti-směs malta, omítky, písek, štěrk, odpad (listí) z dešť.kanalizace, apod.</t>
  </si>
  <si>
    <t>Poplatek za skládku suti - beton do 30x30 cm</t>
  </si>
  <si>
    <t>Poplatek za skládku suti-cihel.výrobky do 30x30 cm</t>
  </si>
  <si>
    <t>Poplatek za skládku suti - železobeton</t>
  </si>
  <si>
    <t>Poplatek za skládku suti - stavební keramika -dlažba, obklady</t>
  </si>
  <si>
    <t>Okapnice z lakovaného Pz plechu, rš 200 mm (167 mm) -dle detailu DET.02</t>
  </si>
  <si>
    <t>Úhelník nerovnoramenný L jakost S235  50x30x4 mm -dle detailu DET.02</t>
  </si>
  <si>
    <t>Podlahy z dlaždic</t>
  </si>
  <si>
    <t>Penetrace podkladu pod dlažby -dle SK.03 4/</t>
  </si>
  <si>
    <t>Obklad soklíků rovných do tmele výšky do 100 mm -dle SK.03 4/</t>
  </si>
  <si>
    <t>Dlaždice keramická 30x30 cm -totožná nebo obdobná dle stávající</t>
  </si>
  <si>
    <t>Řezání dlaždic keramických pro soklíky</t>
  </si>
  <si>
    <t>Montáž podlah keram.,hladké, tmel (cement.flex.lep.), 30x30 cm -dle SK.03 4/</t>
  </si>
  <si>
    <t>Spára podlaha - stěna, silikonem, např.PCI Elritan + separač.provazec např.PCI DIN Polyband</t>
  </si>
  <si>
    <t>Příplatek za plochu podlah keram. do 5 m2 jednotl.</t>
  </si>
  <si>
    <t>Příplatek za protiplísňovou spárovací hmotu - plošně,keram.dlažba</t>
  </si>
  <si>
    <t>Přesun hmot pro podlahy z dlaždic, výšky do 6 m</t>
  </si>
  <si>
    <t>Obklady (keramické)</t>
  </si>
  <si>
    <t>Penetrace podkladu pod obklady -dle SK.02 4/ B/</t>
  </si>
  <si>
    <t>Obkládání stěn obkl. pórovin. do tmele do 300x300 -dle SK.02 4/ B/</t>
  </si>
  <si>
    <t>Obkládačka keramická -dle stávající, nebo obdobná</t>
  </si>
  <si>
    <t>Příplatek za spárovací protiplísňovou hmotu - plošně -dle SK.02 4/ B/</t>
  </si>
  <si>
    <t>Montáž lišt k obkladům -rohových, koutových, horních</t>
  </si>
  <si>
    <t>Profil ukončovací horní, plast -dle výběru investora</t>
  </si>
  <si>
    <t>Profil ukončovací nárožní, plast -dle výběru investora</t>
  </si>
  <si>
    <t>Přesun hmot pro obklady keramické, výšky do 6 m</t>
  </si>
  <si>
    <t>Kotelna a navazující technické prostory</t>
  </si>
  <si>
    <t>Zaplnění spár omítkovinou např.Baumit Sanova S 100% krytí, ručně -dle SK.04 3/</t>
  </si>
  <si>
    <t>Přednástřik stěn např.Baumit Sanova Pre 100% krytí, ručně -dle SK.04 3/</t>
  </si>
  <si>
    <t>Omítka jádrová sanační např.Baumit Sanova S, ručně, tloušťka vrstvy 20-25 mm -dle SK.04 3/</t>
  </si>
  <si>
    <t>Štuk stěn sanační např.Baumit Sanova Fine, ručně, tloušťka vrstvy 2-3 mm -dle SK.04 3/</t>
  </si>
  <si>
    <t>Lešení lehké pomocné, výška podlahy do 2,5 m</t>
  </si>
  <si>
    <t>Lešení lehké pomocné, výška podlahy do 3,5 m</t>
  </si>
  <si>
    <t>Otlučení omítek vnitřních stěn v rozsahu do 100 % -dle SK.04 1/</t>
  </si>
  <si>
    <t>Vysekání a úprava spár zdiva kamenného režného -dle SK.04 2/</t>
  </si>
  <si>
    <t>Zakrytí podlah, včetně papírové lepenky -zázemí celá podlaha, ostatní pruh š.2,0 m</t>
  </si>
  <si>
    <t>Malba paropropustná minerální, např.Baumit Sanova Color, bílá, bez penetrace, 2x -dle SK.04 3/</t>
  </si>
  <si>
    <t>Vedlejší a ostatní rozpočtové náklady</t>
  </si>
  <si>
    <t>Zařízení staveniště</t>
  </si>
  <si>
    <t>Provozní a územní vlivy</t>
  </si>
  <si>
    <t>Koordinační činnost</t>
  </si>
  <si>
    <t>Revize a zkoušky</t>
  </si>
  <si>
    <t>Dokumentace skut.provedení stavby</t>
  </si>
  <si>
    <t>Doba výstavby:</t>
  </si>
  <si>
    <t>Začátek výstavby:</t>
  </si>
  <si>
    <t>Konec výstavby:</t>
  </si>
  <si>
    <t>Zpracováno dne:</t>
  </si>
  <si>
    <t>MJ</t>
  </si>
  <si>
    <t>kus</t>
  </si>
  <si>
    <t>m3</t>
  </si>
  <si>
    <t>t</t>
  </si>
  <si>
    <t>m2</t>
  </si>
  <si>
    <t>m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</si>
  <si>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</si>
  <si>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</si>
  <si>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</si>
  <si>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</si>
  <si>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</si>
  <si>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</si>
  <si>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</si>
  <si>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</si>
  <si>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</si>
  <si>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</si>
  <si>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</si>
  <si>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</si>
  <si>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</si>
  <si>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</si>
  <si>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</si>
  <si>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</si>
  <si>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</si>
  <si>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</si>
  <si>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</si>
  <si>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</si>
  <si>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</si>
  <si>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</si>
  <si>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</si>
  <si>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</si>
  <si>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</si>
  <si>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3.1</t>
  </si>
  <si>
    <t>3.2</t>
  </si>
  <si>
    <t>3.3</t>
  </si>
  <si>
    <t>11_</t>
  </si>
  <si>
    <t>12_</t>
  </si>
  <si>
    <t>13_</t>
  </si>
  <si>
    <t>16_</t>
  </si>
  <si>
    <t>17_</t>
  </si>
  <si>
    <t>18_</t>
  </si>
  <si>
    <t>21_</t>
  </si>
  <si>
    <t>56_</t>
  </si>
  <si>
    <t>59_</t>
  </si>
  <si>
    <t>60_</t>
  </si>
  <si>
    <t>62_</t>
  </si>
  <si>
    <t>89_</t>
  </si>
  <si>
    <t>91_</t>
  </si>
  <si>
    <t>94_</t>
  </si>
  <si>
    <t>97_</t>
  </si>
  <si>
    <t>S_</t>
  </si>
  <si>
    <t>H99_</t>
  </si>
  <si>
    <t>711_</t>
  </si>
  <si>
    <t>764_</t>
  </si>
  <si>
    <t>784_</t>
  </si>
  <si>
    <t>41_</t>
  </si>
  <si>
    <t>61_</t>
  </si>
  <si>
    <t>63_</t>
  </si>
  <si>
    <t>93_</t>
  </si>
  <si>
    <t>96_</t>
  </si>
  <si>
    <t>771_</t>
  </si>
  <si>
    <t>781_</t>
  </si>
  <si>
    <t>VRN_</t>
  </si>
  <si>
    <t>3.1_1_</t>
  </si>
  <si>
    <t>3.1_2_</t>
  </si>
  <si>
    <t>3.1_5_</t>
  </si>
  <si>
    <t>3.1_6_</t>
  </si>
  <si>
    <t>3.1_8_</t>
  </si>
  <si>
    <t>3.1_9_</t>
  </si>
  <si>
    <t>3.1_71_</t>
  </si>
  <si>
    <t>3.1_76_</t>
  </si>
  <si>
    <t>3.1_78_</t>
  </si>
  <si>
    <t>3.2_1_</t>
  </si>
  <si>
    <t>3.2_2_</t>
  </si>
  <si>
    <t>3.2_4_</t>
  </si>
  <si>
    <t>3.2_5_</t>
  </si>
  <si>
    <t>3.2_6_</t>
  </si>
  <si>
    <t>3.2_8_</t>
  </si>
  <si>
    <t>3.2_9_</t>
  </si>
  <si>
    <t>3.2_76_</t>
  </si>
  <si>
    <t>3.2_77_</t>
  </si>
  <si>
    <t>3.2_78_</t>
  </si>
  <si>
    <t>3.3_6_</t>
  </si>
  <si>
    <t>3.3_9_</t>
  </si>
  <si>
    <t>3.3_78_</t>
  </si>
  <si>
    <t>VRN_9_</t>
  </si>
  <si>
    <t>3.1_</t>
  </si>
  <si>
    <t>3.2_</t>
  </si>
  <si>
    <t>3.3_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</si>
  <si>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</si>
  <si>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</si>
  <si>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</si>
  <si>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</si>
  <si>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</si>
  <si>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</si>
  <si>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</si>
  <si>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</si>
  <si>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</si>
  <si>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</si>
  <si>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</si>
  <si>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</si>
  <si>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1   </t>
  </si>
  <si>
    <t>(4,55*2,3+6,35*0,85+4,1*2,3+6,35*0,85+6,2*2,45+5,35*4,3)   </t>
  </si>
  <si>
    <t>-(4,775+1,35*2+6,35+4,4+1,35*2+6,35+1,35+6,2+2,0)*0,3   </t>
  </si>
  <si>
    <t>(4,775+1,35*2+6,35+4,4+1,35*2+6,35+1,35+6,2+2,0)*0,3   </t>
  </si>
  <si>
    <t>21,0*0,2   </t>
  </si>
  <si>
    <t>21,0*0,216   </t>
  </si>
  <si>
    <t>4,536   </t>
  </si>
  <si>
    <t>4,536+16,0*0,2   </t>
  </si>
  <si>
    <t>(16,0*0,2)*1,75   </t>
  </si>
  <si>
    <t>4,536*1,75   </t>
  </si>
  <si>
    <t>21,0-16,0   </t>
  </si>
  <si>
    <t>30,45+0,55+1,55   </t>
  </si>
  <si>
    <t>16   </t>
  </si>
  <si>
    <t>18+46   </t>
  </si>
  <si>
    <t>(4,775+1,35*2+6,35+4,4+1,35*2+6,35+1,35+6,2+2,0)*0,3*0,25   </t>
  </si>
  <si>
    <t>(4,775+1,35*2+6,35+4,4+1,35*2+6,35+1,35+6,2+2,0)*(0,25+0,15)*2   </t>
  </si>
  <si>
    <t>36,825*4*0,00089*1,15   </t>
  </si>
  <si>
    <t>1,1*106*0,00023*1,15   </t>
  </si>
  <si>
    <t>46   </t>
  </si>
  <si>
    <t>18   </t>
  </si>
  <si>
    <t>;ztratné 5%; 0,8   </t>
  </si>
  <si>
    <t>;ztratné 5%; 0,9   </t>
  </si>
  <si>
    <t>;ztratné 5%; 2,3   </t>
  </si>
  <si>
    <t>4,3*2+1,3*2   </t>
  </si>
  <si>
    <t>32,05   </t>
  </si>
  <si>
    <t>3   </t>
  </si>
  <si>
    <t>(3,075+2,18+3,75+9,45+9,53)*1,0   </t>
  </si>
  <si>
    <t>(1,85*2+5,0)*0,75+(1,25+1,3+3,25)*0,75   </t>
  </si>
  <si>
    <t>(0,2+3,1+5,15+2,7)*2,1+(2,7+6,2+3,1+0,2)*2,1   </t>
  </si>
  <si>
    <t>(5,9+0,1*2+1,7+6,1+0,15+9,45+0,35+6,6+9,15+8,4+1,05+0,25+8,85+0,1*2+2,2+1,0+0,45+1,2)*3,5   </t>
  </si>
  <si>
    <t>(9,7+6,0)*2*4,5   </t>
  </si>
  <si>
    <t>(4,0+9,15+2,0)*(5,0-3,5)   </t>
  </si>
  <si>
    <t>385,225   </t>
  </si>
  <si>
    <t>(4,775+1,35*2+6,35+4,4+1,35*2+6,35+1,35+6,2+2,0)   </t>
  </si>
  <si>
    <t>(31,2+0,5)*(0,416+0,1)   </t>
  </si>
  <si>
    <t>(4,775+1,35*2+6,35+4,4+1,35*2+6,35+1,35+6,2+2,0)*2   </t>
  </si>
  <si>
    <t>31,2+0,5   </t>
  </si>
  <si>
    <t>32,05*0,075   </t>
  </si>
  <si>
    <t>(5,15+2,2+1,8)*0,9+(5,0*0,9)+(6,2+1,8+2,2)*0,9   </t>
  </si>
  <si>
    <t>6,5   </t>
  </si>
  <si>
    <t>11   </t>
  </si>
  <si>
    <t>48   </t>
  </si>
  <si>
    <t>64   </t>
  </si>
  <si>
    <t>(31,2+0,5)*0,3*0,25   </t>
  </si>
  <si>
    <t>36,2   </t>
  </si>
  <si>
    <t>73   </t>
  </si>
  <si>
    <t>36,2*0,3*0,25   </t>
  </si>
  <si>
    <t>32,9+(4,775+1,35*2+6,35+4,4+1,35*2+6,35+1,35+6,2+2,0)   </t>
  </si>
  <si>
    <t>(0,15*0,15)*(0,275+1,075+0,275)*8   </t>
  </si>
  <si>
    <t>(4,775+1,35*2+6,35+4,4+1,35*2+6,35+1,35+6,2+2,0)*0,15*2,025   </t>
  </si>
  <si>
    <t>30   </t>
  </si>
  <si>
    <t>(5,9+0,1*2+1,7+6,1+0,15+9,45+0,35+6,6+9,15+8,4+1,05+0,25+8,85+0,1*2+2,2+1,0+0,45+1,2)   </t>
  </si>
  <si>
    <t>(9,7+6,0)*2   </t>
  </si>
  <si>
    <t>(4,0+9,15+2,0)   </t>
  </si>
  <si>
    <t>(4,775+1,35*2+6,35+4,4+1,35*2+6,35+1,35+6,2+2,0)*0,34   </t>
  </si>
  <si>
    <t>(5,15+2,2+1,8)*0,9*0,065+(5,0*0,9*0,065)+(6,2+1,8+2,2)*0,9*0,065   </t>
  </si>
  <si>
    <t>1,424   </t>
  </si>
  <si>
    <t>0,9+5,0+0,9   </t>
  </si>
  <si>
    <t>1,679   </t>
  </si>
  <si>
    <t>1,679*4   </t>
  </si>
  <si>
    <t>1,679*3   </t>
  </si>
  <si>
    <t>27,27+33,004+1,528+3,133+3,775   </t>
  </si>
  <si>
    <t>68,71*4   </t>
  </si>
  <si>
    <t>68,71*3   </t>
  </si>
  <si>
    <t>(0,5+2,256+0,839)+(0,577+22,036)+(0,077+0,165+0,72+0,1)   </t>
  </si>
  <si>
    <t>27,792+5,212   </t>
  </si>
  <si>
    <t>1,528   </t>
  </si>
  <si>
    <t>3,133   </t>
  </si>
  <si>
    <t>0,003+0,438+3,334   </t>
  </si>
  <si>
    <t>23,114   </t>
  </si>
  <si>
    <t>23,114*4   </t>
  </si>
  <si>
    <t>23,114*3   </t>
  </si>
  <si>
    <t>17,72+5,3935   </t>
  </si>
  <si>
    <t>13,844+4,838+4,193+2,016+0,077+9,958+0,477   </t>
  </si>
  <si>
    <t>7,39+14,717+21,618+5,992+1,226+3,589+4,108+11,369   </t>
  </si>
  <si>
    <t>27,755+0,382   </t>
  </si>
  <si>
    <t>16,357   </t>
  </si>
  <si>
    <t>;ztratné 15%; 2,45355   </t>
  </si>
  <si>
    <t>0,02   </t>
  </si>
  <si>
    <t>(31,2+0,5)*0,00242*1,1   </t>
  </si>
  <si>
    <t>;ztratné 5%; 0,0042   </t>
  </si>
  <si>
    <t>0,126   </t>
  </si>
  <si>
    <t>36,825*0,00242*1,1   </t>
  </si>
  <si>
    <t>;ztratné 5%; 0,0049   </t>
  </si>
  <si>
    <t>0,147   </t>
  </si>
  <si>
    <t>6,8*0,1   </t>
  </si>
  <si>
    <t>;ztratné 10%; 0,068   </t>
  </si>
  <si>
    <t>(0,9+5,0+0,9)/3*2   </t>
  </si>
  <si>
    <t>21,915   </t>
  </si>
  <si>
    <t>;ztratné 5%; 1,09575   </t>
  </si>
  <si>
    <t>(0,2+3,1+5,15+2,7)+(2,7+6,2+3,1+0,2)   </t>
  </si>
  <si>
    <t>0,556   </t>
  </si>
  <si>
    <t>49,035   </t>
  </si>
  <si>
    <t>;ztratné 5%; 2,45175   </t>
  </si>
  <si>
    <t>2*(2+2)   </t>
  </si>
  <si>
    <t>23,35   </t>
  </si>
  <si>
    <t>;ztratné 10%; 2,335   </t>
  </si>
  <si>
    <t>8   </t>
  </si>
  <si>
    <t>;ztratné 10%; 0,8   </t>
  </si>
  <si>
    <t>0,679   </t>
  </si>
  <si>
    <t>(3,075+2,18+3,75+9,45+9,53)*2,7   </t>
  </si>
  <si>
    <t>(3,075+2,18+3,75+9,45+9,53)*2,0   </t>
  </si>
  <si>
    <t>(3,075+2,18+3,75+9,45+9,53)*(1,0+2,7)   </t>
  </si>
  <si>
    <t>(1,2*0,45+0,63*0,15+4,85*3,0+6,1*1,3-0,4*0,1-2,35*0,15+2,1*1,55+0,8*1,5)   </t>
  </si>
  <si>
    <t>(9,15+2,0)*2*2,0   </t>
  </si>
  <si>
    <t>(9,7+2,0)*2*2,0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</si>
  <si>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</si>
  <si>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</si>
  <si>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</si>
  <si>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</si>
  <si>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</si>
  <si>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</si>
  <si>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</si>
  <si>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</si>
  <si>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</si>
  <si>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</si>
  <si>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</si>
  <si>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</si>
  <si>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</si>
  <si>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</si>
  <si>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</si>
  <si>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</si>
  <si>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</si>
  <si>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</si>
  <si>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</si>
  <si>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</si>
  <si>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</si>
  <si>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Vedlejší náklady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</si>
  <si>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</si>
  <si>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</si>
  <si>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</si>
  <si>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</si>
  <si>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</si>
  <si>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</si>
  <si>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</si>
  <si>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</si>
  <si>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</si>
  <si>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</si>
  <si>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</si>
  <si>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</si>
  <si>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</si>
  <si>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</si>
  <si>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</si>
  <si>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</si>
  <si>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</si>
  <si>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</si>
  <si>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</si>
  <si>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</si>
  <si>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</si>
  <si>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</si>
  <si>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</si>
  <si>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Miroslav Hefner</t>
  </si>
  <si>
    <t>Město Nový Bor</t>
  </si>
  <si>
    <t>TIWANAKO s.r.o</t>
  </si>
  <si>
    <t>246 56 348</t>
  </si>
  <si>
    <t>002 60 771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</si>
</sst>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5" fillId="4" borderId="35" xfId="0" applyNumberFormat="1" applyFont="1" applyFill="1" applyBorder="1" applyAlignment="1" applyProtection="1">
      <alignment horizontal="center" vertical="center"/>
    </xf>
    <xf numFmtId="49" fontId="16" fillId="0" borderId="36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7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7" fillId="0" borderId="35" xfId="0" applyNumberFormat="1" applyFont="1" applyFill="1" applyBorder="1" applyAlignment="1" applyProtection="1">
      <alignment horizontal="right" vertical="center"/>
    </xf>
    <xf numFmtId="49" fontId="17" fillId="0" borderId="35" xfId="0" applyNumberFormat="1" applyFont="1" applyFill="1" applyBorder="1" applyAlignment="1" applyProtection="1">
      <alignment horizontal="right" vertical="center"/>
    </xf>
    <xf numFmtId="4" fontId="17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6" fillId="4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7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19" fillId="2" borderId="7" xfId="0" applyNumberFormat="1" applyFont="1" applyFill="1" applyBorder="1" applyAlignment="1" applyProtection="1">
      <alignment horizontal="left" vertical="center"/>
    </xf>
    <xf numFmtId="49" fontId="20" fillId="2" borderId="7" xfId="0" applyNumberFormat="1" applyFont="1" applyFill="1" applyBorder="1" applyAlignment="1" applyProtection="1">
      <alignment horizontal="left" vertical="center"/>
    </xf>
    <xf numFmtId="4" fontId="20" fillId="2" borderId="7" xfId="0" applyNumberFormat="1" applyFont="1" applyFill="1" applyBorder="1" applyAlignment="1" applyProtection="1">
      <alignment horizontal="right" vertical="center"/>
    </xf>
    <xf numFmtId="49" fontId="20" fillId="2" borderId="7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9" fontId="20" fillId="2" borderId="0" xfId="0" applyNumberFormat="1" applyFont="1" applyFill="1" applyBorder="1" applyAlignment="1" applyProtection="1">
      <alignment horizontal="left" vertical="center"/>
    </xf>
    <xf numFmtId="4" fontId="20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righ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8" fillId="0" borderId="42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6" fillId="4" borderId="38" xfId="0" applyNumberFormat="1" applyFont="1" applyFill="1" applyBorder="1" applyAlignment="1" applyProtection="1">
      <alignment horizontal="left" vertical="center"/>
    </xf>
    <xf numFmtId="0" fontId="16" fillId="4" borderId="3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7" fillId="0" borderId="27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0" borderId="41" xfId="0" applyNumberFormat="1" applyFont="1" applyFill="1" applyBorder="1" applyAlignment="1" applyProtection="1">
      <alignment horizontal="left" vertical="center"/>
    </xf>
    <xf numFmtId="0" fontId="17" fillId="0" borderId="9" xfId="0" applyNumberFormat="1" applyFont="1" applyFill="1" applyBorder="1" applyAlignment="1" applyProtection="1">
      <alignment horizontal="left" vertical="center"/>
    </xf>
    <xf numFmtId="0" fontId="17" fillId="0" borderId="45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0" fontId="21" fillId="0" borderId="7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20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0" fontId="9" fillId="3" borderId="7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M13" sqref="M1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3"/>
      <c r="B1" s="46"/>
      <c r="C1" s="83" t="s">
        <v>677</v>
      </c>
      <c r="D1" s="84"/>
      <c r="E1" s="84"/>
      <c r="F1" s="84"/>
      <c r="G1" s="84"/>
      <c r="H1" s="84"/>
      <c r="I1" s="84"/>
    </row>
    <row r="2" spans="1:10" x14ac:dyDescent="0.2">
      <c r="A2" s="85" t="s">
        <v>1</v>
      </c>
      <c r="B2" s="86"/>
      <c r="C2" s="89" t="str">
        <f>'Stavební rozpočet'!C2</f>
        <v>TECHNICKÉ ŘEŠENÍ VLHKOSTNÍCH PORUCH SUTERÉNNÍCH ZDÍ</v>
      </c>
      <c r="D2" s="90"/>
      <c r="E2" s="92" t="s">
        <v>462</v>
      </c>
      <c r="F2" s="92" t="s">
        <v>707</v>
      </c>
      <c r="G2" s="86"/>
      <c r="H2" s="92" t="s">
        <v>702</v>
      </c>
      <c r="I2" s="93" t="s">
        <v>710</v>
      </c>
      <c r="J2" s="29"/>
    </row>
    <row r="3" spans="1:10" x14ac:dyDescent="0.2">
      <c r="A3" s="87"/>
      <c r="B3" s="88"/>
      <c r="C3" s="91"/>
      <c r="D3" s="91"/>
      <c r="E3" s="88"/>
      <c r="F3" s="88"/>
      <c r="G3" s="88"/>
      <c r="H3" s="88"/>
      <c r="I3" s="94"/>
      <c r="J3" s="29"/>
    </row>
    <row r="4" spans="1:10" x14ac:dyDescent="0.2">
      <c r="A4" s="96" t="s">
        <v>2</v>
      </c>
      <c r="B4" s="88"/>
      <c r="C4" s="97"/>
      <c r="D4" s="88"/>
      <c r="E4" s="97" t="s">
        <v>463</v>
      </c>
      <c r="F4" s="97" t="s">
        <v>708</v>
      </c>
      <c r="G4" s="88"/>
      <c r="H4" s="97" t="s">
        <v>702</v>
      </c>
      <c r="I4" s="95" t="s">
        <v>709</v>
      </c>
      <c r="J4" s="29"/>
    </row>
    <row r="5" spans="1:10" x14ac:dyDescent="0.2">
      <c r="A5" s="87"/>
      <c r="B5" s="88"/>
      <c r="C5" s="88"/>
      <c r="D5" s="88"/>
      <c r="E5" s="88"/>
      <c r="F5" s="88"/>
      <c r="G5" s="88"/>
      <c r="H5" s="88"/>
      <c r="I5" s="94"/>
      <c r="J5" s="29"/>
    </row>
    <row r="6" spans="1:10" x14ac:dyDescent="0.2">
      <c r="A6" s="96" t="s">
        <v>3</v>
      </c>
      <c r="B6" s="88"/>
      <c r="C6" s="97" t="str">
        <f>'Stavební rozpočet'!C6</f>
        <v>ZŠ U LESA, BOŽENY NĚMCOVÉ 539, NOVÝ BOR 473 01</v>
      </c>
      <c r="D6" s="88"/>
      <c r="E6" s="97" t="s">
        <v>464</v>
      </c>
      <c r="F6" s="97" t="str">
        <f>'Stavební rozpočet'!I6</f>
        <v> </v>
      </c>
      <c r="G6" s="88"/>
      <c r="H6" s="97" t="s">
        <v>702</v>
      </c>
      <c r="I6" s="95"/>
      <c r="J6" s="29"/>
    </row>
    <row r="7" spans="1:10" x14ac:dyDescent="0.2">
      <c r="A7" s="87"/>
      <c r="B7" s="88"/>
      <c r="C7" s="88"/>
      <c r="D7" s="88"/>
      <c r="E7" s="88"/>
      <c r="F7" s="88"/>
      <c r="G7" s="88"/>
      <c r="H7" s="88"/>
      <c r="I7" s="94"/>
      <c r="J7" s="29"/>
    </row>
    <row r="8" spans="1:10" x14ac:dyDescent="0.2">
      <c r="A8" s="96" t="s">
        <v>452</v>
      </c>
      <c r="B8" s="88"/>
      <c r="C8" s="97"/>
      <c r="D8" s="88"/>
      <c r="E8" s="97" t="s">
        <v>453</v>
      </c>
      <c r="F8" s="97"/>
      <c r="G8" s="88"/>
      <c r="H8" s="100" t="s">
        <v>703</v>
      </c>
      <c r="I8" s="95" t="s">
        <v>162</v>
      </c>
      <c r="J8" s="29"/>
    </row>
    <row r="9" spans="1:10" x14ac:dyDescent="0.2">
      <c r="A9" s="87"/>
      <c r="B9" s="88"/>
      <c r="C9" s="88"/>
      <c r="D9" s="88"/>
      <c r="E9" s="88"/>
      <c r="F9" s="88"/>
      <c r="G9" s="88"/>
      <c r="H9" s="88"/>
      <c r="I9" s="94"/>
      <c r="J9" s="29"/>
    </row>
    <row r="10" spans="1:10" x14ac:dyDescent="0.2">
      <c r="A10" s="96" t="s">
        <v>4</v>
      </c>
      <c r="B10" s="88"/>
      <c r="C10" s="97" t="str">
        <f>'Stavební rozpočet'!C8</f>
        <v xml:space="preserve"> </v>
      </c>
      <c r="D10" s="88"/>
      <c r="E10" s="97" t="s">
        <v>465</v>
      </c>
      <c r="F10" s="97" t="s">
        <v>706</v>
      </c>
      <c r="G10" s="88"/>
      <c r="H10" s="100" t="s">
        <v>704</v>
      </c>
      <c r="I10" s="98"/>
      <c r="J10" s="29"/>
    </row>
    <row r="11" spans="1:10" x14ac:dyDescent="0.2">
      <c r="A11" s="101"/>
      <c r="B11" s="102"/>
      <c r="C11" s="102"/>
      <c r="D11" s="102"/>
      <c r="E11" s="102"/>
      <c r="F11" s="102"/>
      <c r="G11" s="102"/>
      <c r="H11" s="102"/>
      <c r="I11" s="99"/>
      <c r="J11" s="29"/>
    </row>
    <row r="12" spans="1:10" ht="23.45" customHeight="1" x14ac:dyDescent="0.2">
      <c r="A12" s="103" t="s">
        <v>662</v>
      </c>
      <c r="B12" s="104"/>
      <c r="C12" s="104"/>
      <c r="D12" s="104"/>
      <c r="E12" s="104"/>
      <c r="F12" s="104"/>
      <c r="G12" s="104"/>
      <c r="H12" s="104"/>
      <c r="I12" s="104"/>
    </row>
    <row r="13" spans="1:10" ht="26.45" customHeight="1" x14ac:dyDescent="0.2">
      <c r="A13" s="47" t="s">
        <v>663</v>
      </c>
      <c r="B13" s="105" t="s">
        <v>675</v>
      </c>
      <c r="C13" s="106"/>
      <c r="D13" s="47" t="s">
        <v>678</v>
      </c>
      <c r="E13" s="105" t="s">
        <v>688</v>
      </c>
      <c r="F13" s="106"/>
      <c r="G13" s="47" t="s">
        <v>689</v>
      </c>
      <c r="H13" s="105" t="s">
        <v>705</v>
      </c>
      <c r="I13" s="106"/>
      <c r="J13" s="29"/>
    </row>
    <row r="14" spans="1:10" ht="15.2" customHeight="1" x14ac:dyDescent="0.2">
      <c r="A14" s="48" t="s">
        <v>664</v>
      </c>
      <c r="B14" s="52" t="s">
        <v>676</v>
      </c>
      <c r="C14" s="56">
        <f>SUM('Stavební rozpočet'!AB12:AB219)</f>
        <v>0</v>
      </c>
      <c r="D14" s="107" t="s">
        <v>679</v>
      </c>
      <c r="E14" s="108"/>
      <c r="F14" s="56">
        <v>0</v>
      </c>
      <c r="G14" s="107" t="s">
        <v>446</v>
      </c>
      <c r="H14" s="108"/>
      <c r="I14" s="56">
        <v>0</v>
      </c>
      <c r="J14" s="29"/>
    </row>
    <row r="15" spans="1:10" ht="15.2" customHeight="1" x14ac:dyDescent="0.2">
      <c r="A15" s="49"/>
      <c r="B15" s="52" t="s">
        <v>472</v>
      </c>
      <c r="C15" s="56">
        <f>SUM('Stavební rozpočet'!AC12:AC219)</f>
        <v>0</v>
      </c>
      <c r="D15" s="107" t="s">
        <v>680</v>
      </c>
      <c r="E15" s="108"/>
      <c r="F15" s="56">
        <v>0</v>
      </c>
      <c r="G15" s="107" t="s">
        <v>690</v>
      </c>
      <c r="H15" s="108"/>
      <c r="I15" s="56">
        <v>0</v>
      </c>
      <c r="J15" s="29"/>
    </row>
    <row r="16" spans="1:10" ht="15.2" customHeight="1" x14ac:dyDescent="0.2">
      <c r="A16" s="48" t="s">
        <v>665</v>
      </c>
      <c r="B16" s="52" t="s">
        <v>676</v>
      </c>
      <c r="C16" s="56">
        <f>SUM('Stavební rozpočet'!AD12:AD219)</f>
        <v>0</v>
      </c>
      <c r="D16" s="107" t="s">
        <v>681</v>
      </c>
      <c r="E16" s="108"/>
      <c r="F16" s="56">
        <v>0</v>
      </c>
      <c r="G16" s="107" t="s">
        <v>691</v>
      </c>
      <c r="H16" s="108"/>
      <c r="I16" s="56">
        <v>0</v>
      </c>
      <c r="J16" s="29"/>
    </row>
    <row r="17" spans="1:10" ht="15.2" customHeight="1" x14ac:dyDescent="0.2">
      <c r="A17" s="49"/>
      <c r="B17" s="52" t="s">
        <v>472</v>
      </c>
      <c r="C17" s="56">
        <f>SUM('Stavební rozpočet'!AE12:AE219)</f>
        <v>0</v>
      </c>
      <c r="D17" s="107" t="s">
        <v>682</v>
      </c>
      <c r="E17" s="108"/>
      <c r="F17" s="56">
        <v>0</v>
      </c>
      <c r="G17" s="107" t="s">
        <v>692</v>
      </c>
      <c r="H17" s="108"/>
      <c r="I17" s="56">
        <v>0</v>
      </c>
      <c r="J17" s="29"/>
    </row>
    <row r="18" spans="1:10" ht="15.2" customHeight="1" x14ac:dyDescent="0.2">
      <c r="A18" s="48" t="s">
        <v>666</v>
      </c>
      <c r="B18" s="52" t="s">
        <v>676</v>
      </c>
      <c r="C18" s="56">
        <f>SUM('Stavební rozpočet'!AF12:AF219)</f>
        <v>0</v>
      </c>
      <c r="D18" s="107"/>
      <c r="E18" s="108"/>
      <c r="F18" s="57"/>
      <c r="G18" s="107" t="s">
        <v>693</v>
      </c>
      <c r="H18" s="108"/>
      <c r="I18" s="56">
        <v>0</v>
      </c>
      <c r="J18" s="29"/>
    </row>
    <row r="19" spans="1:10" ht="15.2" customHeight="1" x14ac:dyDescent="0.2">
      <c r="A19" s="49"/>
      <c r="B19" s="52" t="s">
        <v>472</v>
      </c>
      <c r="C19" s="56">
        <f>SUM('Stavební rozpočet'!AG12:AG219)</f>
        <v>0</v>
      </c>
      <c r="D19" s="107"/>
      <c r="E19" s="108"/>
      <c r="F19" s="57"/>
      <c r="G19" s="107" t="s">
        <v>694</v>
      </c>
      <c r="H19" s="108"/>
      <c r="I19" s="56">
        <v>0</v>
      </c>
      <c r="J19" s="29"/>
    </row>
    <row r="20" spans="1:10" ht="15.2" customHeight="1" x14ac:dyDescent="0.2">
      <c r="A20" s="109" t="s">
        <v>667</v>
      </c>
      <c r="B20" s="110"/>
      <c r="C20" s="56">
        <f>SUM('Stavební rozpočet'!AH12:AH219)</f>
        <v>0</v>
      </c>
      <c r="D20" s="107"/>
      <c r="E20" s="108"/>
      <c r="F20" s="57"/>
      <c r="G20" s="107"/>
      <c r="H20" s="108"/>
      <c r="I20" s="57"/>
      <c r="J20" s="29"/>
    </row>
    <row r="21" spans="1:10" ht="15.2" customHeight="1" x14ac:dyDescent="0.2">
      <c r="A21" s="109" t="s">
        <v>668</v>
      </c>
      <c r="B21" s="110"/>
      <c r="C21" s="56">
        <f>SUM('Stavební rozpočet'!Z12:Z219)</f>
        <v>0</v>
      </c>
      <c r="D21" s="107"/>
      <c r="E21" s="108"/>
      <c r="F21" s="57"/>
      <c r="G21" s="107"/>
      <c r="H21" s="108"/>
      <c r="I21" s="57"/>
      <c r="J21" s="29"/>
    </row>
    <row r="22" spans="1:10" ht="16.7" customHeight="1" x14ac:dyDescent="0.2">
      <c r="A22" s="109" t="s">
        <v>669</v>
      </c>
      <c r="B22" s="110"/>
      <c r="C22" s="56">
        <f>SUM(C14:C21)</f>
        <v>0</v>
      </c>
      <c r="D22" s="109" t="s">
        <v>683</v>
      </c>
      <c r="E22" s="110"/>
      <c r="F22" s="56">
        <f>SUM(F14:F21)</f>
        <v>0</v>
      </c>
      <c r="G22" s="109" t="s">
        <v>695</v>
      </c>
      <c r="H22" s="110"/>
      <c r="I22" s="56">
        <f>SUM(I14:I21)</f>
        <v>0</v>
      </c>
      <c r="J22" s="29"/>
    </row>
    <row r="23" spans="1:10" ht="15.2" customHeight="1" x14ac:dyDescent="0.2">
      <c r="A23" s="7"/>
      <c r="B23" s="7"/>
      <c r="C23" s="54"/>
      <c r="D23" s="109" t="s">
        <v>684</v>
      </c>
      <c r="E23" s="110"/>
      <c r="F23" s="58">
        <v>0</v>
      </c>
      <c r="G23" s="109" t="s">
        <v>696</v>
      </c>
      <c r="H23" s="110"/>
      <c r="I23" s="56">
        <v>0</v>
      </c>
      <c r="J23" s="29"/>
    </row>
    <row r="24" spans="1:10" ht="15.2" customHeight="1" x14ac:dyDescent="0.2">
      <c r="D24" s="7"/>
      <c r="E24" s="7"/>
      <c r="F24" s="59"/>
      <c r="G24" s="109" t="s">
        <v>697</v>
      </c>
      <c r="H24" s="110"/>
      <c r="I24" s="61"/>
    </row>
    <row r="25" spans="1:10" ht="15.2" customHeight="1" x14ac:dyDescent="0.2">
      <c r="F25" s="60"/>
      <c r="G25" s="109" t="s">
        <v>698</v>
      </c>
      <c r="H25" s="110"/>
      <c r="I25" s="56">
        <v>0</v>
      </c>
      <c r="J25" s="29"/>
    </row>
    <row r="26" spans="1:10" x14ac:dyDescent="0.2">
      <c r="A26" s="46"/>
      <c r="B26" s="46"/>
      <c r="C26" s="46"/>
      <c r="G26" s="7"/>
      <c r="H26" s="7"/>
      <c r="I26" s="7"/>
    </row>
    <row r="27" spans="1:10" ht="15.2" customHeight="1" x14ac:dyDescent="0.2">
      <c r="A27" s="111" t="s">
        <v>670</v>
      </c>
      <c r="B27" s="112"/>
      <c r="C27" s="62">
        <f>SUM('Stavební rozpočet'!AJ12:AJ219)</f>
        <v>0</v>
      </c>
      <c r="D27" s="55"/>
      <c r="E27" s="46"/>
      <c r="F27" s="46"/>
      <c r="G27" s="46"/>
      <c r="H27" s="46"/>
      <c r="I27" s="46"/>
    </row>
    <row r="28" spans="1:10" ht="15.2" customHeight="1" x14ac:dyDescent="0.2">
      <c r="A28" s="111" t="s">
        <v>671</v>
      </c>
      <c r="B28" s="112"/>
      <c r="C28" s="62">
        <f>SUM('Stavební rozpočet'!AK12:AK219)</f>
        <v>0</v>
      </c>
      <c r="D28" s="111" t="s">
        <v>685</v>
      </c>
      <c r="E28" s="112"/>
      <c r="F28" s="62">
        <f>ROUND(C28*(15/100),2)</f>
        <v>0</v>
      </c>
      <c r="G28" s="111" t="s">
        <v>699</v>
      </c>
      <c r="H28" s="112"/>
      <c r="I28" s="62">
        <f>SUM(C27:C29)</f>
        <v>0</v>
      </c>
      <c r="J28" s="29"/>
    </row>
    <row r="29" spans="1:10" ht="15.2" customHeight="1" x14ac:dyDescent="0.2">
      <c r="A29" s="111" t="s">
        <v>672</v>
      </c>
      <c r="B29" s="112"/>
      <c r="C29" s="62">
        <f>SUM('Stavební rozpočet'!AL12:AL219)+(F22+I22+F23+I23+I24+I25)</f>
        <v>0</v>
      </c>
      <c r="D29" s="111" t="s">
        <v>686</v>
      </c>
      <c r="E29" s="112"/>
      <c r="F29" s="62">
        <f>ROUND(C29*(21/100),2)</f>
        <v>0</v>
      </c>
      <c r="G29" s="111" t="s">
        <v>700</v>
      </c>
      <c r="H29" s="112"/>
      <c r="I29" s="62">
        <f>SUM(F28:F29)+I28</f>
        <v>0</v>
      </c>
      <c r="J29" s="29"/>
    </row>
    <row r="30" spans="1:10" x14ac:dyDescent="0.2">
      <c r="A30" s="50"/>
      <c r="B30" s="50"/>
      <c r="C30" s="50"/>
      <c r="D30" s="50"/>
      <c r="E30" s="50"/>
      <c r="F30" s="50"/>
      <c r="G30" s="50"/>
      <c r="H30" s="50"/>
      <c r="I30" s="50"/>
    </row>
    <row r="31" spans="1:10" ht="14.45" customHeight="1" x14ac:dyDescent="0.2">
      <c r="A31" s="113" t="s">
        <v>673</v>
      </c>
      <c r="B31" s="114"/>
      <c r="C31" s="115"/>
      <c r="D31" s="113" t="s">
        <v>687</v>
      </c>
      <c r="E31" s="114"/>
      <c r="F31" s="115"/>
      <c r="G31" s="113" t="s">
        <v>701</v>
      </c>
      <c r="H31" s="114"/>
      <c r="I31" s="115"/>
      <c r="J31" s="30"/>
    </row>
    <row r="32" spans="1:10" ht="14.45" customHeight="1" x14ac:dyDescent="0.2">
      <c r="A32" s="116"/>
      <c r="B32" s="117"/>
      <c r="C32" s="118"/>
      <c r="D32" s="116"/>
      <c r="E32" s="117"/>
      <c r="F32" s="118"/>
      <c r="G32" s="116"/>
      <c r="H32" s="117"/>
      <c r="I32" s="118"/>
      <c r="J32" s="30"/>
    </row>
    <row r="33" spans="1:10" ht="14.45" customHeight="1" x14ac:dyDescent="0.2">
      <c r="A33" s="116"/>
      <c r="B33" s="117"/>
      <c r="C33" s="118"/>
      <c r="D33" s="116"/>
      <c r="E33" s="117"/>
      <c r="F33" s="118"/>
      <c r="G33" s="116"/>
      <c r="H33" s="117"/>
      <c r="I33" s="118"/>
      <c r="J33" s="30"/>
    </row>
    <row r="34" spans="1:10" ht="14.45" customHeight="1" x14ac:dyDescent="0.2">
      <c r="A34" s="116"/>
      <c r="B34" s="117"/>
      <c r="C34" s="118"/>
      <c r="D34" s="116"/>
      <c r="E34" s="117"/>
      <c r="F34" s="118"/>
      <c r="G34" s="116"/>
      <c r="H34" s="117"/>
      <c r="I34" s="118"/>
      <c r="J34" s="30"/>
    </row>
    <row r="35" spans="1:10" ht="14.45" customHeight="1" x14ac:dyDescent="0.2">
      <c r="A35" s="119" t="s">
        <v>674</v>
      </c>
      <c r="B35" s="120"/>
      <c r="C35" s="121"/>
      <c r="D35" s="119" t="s">
        <v>674</v>
      </c>
      <c r="E35" s="120"/>
      <c r="F35" s="121"/>
      <c r="G35" s="119" t="s">
        <v>674</v>
      </c>
      <c r="H35" s="120"/>
      <c r="I35" s="121"/>
      <c r="J35" s="30"/>
    </row>
    <row r="36" spans="1:10" ht="11.25" customHeight="1" x14ac:dyDescent="0.2">
      <c r="A36" s="51" t="s">
        <v>163</v>
      </c>
      <c r="B36" s="53"/>
      <c r="C36" s="53"/>
      <c r="D36" s="53"/>
      <c r="E36" s="53"/>
      <c r="F36" s="53"/>
      <c r="G36" s="53"/>
      <c r="H36" s="53"/>
      <c r="I36" s="53"/>
    </row>
    <row r="37" spans="1:10" x14ac:dyDescent="0.2">
      <c r="A37" s="97"/>
      <c r="B37" s="88"/>
      <c r="C37" s="88"/>
      <c r="D37" s="88"/>
      <c r="E37" s="88"/>
      <c r="F37" s="88"/>
      <c r="G37" s="88"/>
      <c r="H37" s="88"/>
      <c r="I37" s="88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1" width="16.5703125" customWidth="1"/>
    <col min="2" max="2" width="13.140625" customWidth="1"/>
    <col min="3" max="3" width="41.7109375" customWidth="1"/>
    <col min="4" max="4" width="14.570312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22" t="s">
        <v>546</v>
      </c>
      <c r="B1" s="84"/>
      <c r="C1" s="84"/>
      <c r="D1" s="84"/>
      <c r="E1" s="84"/>
      <c r="F1" s="84"/>
      <c r="G1" s="84"/>
    </row>
    <row r="2" spans="1:9" x14ac:dyDescent="0.2">
      <c r="A2" s="85" t="s">
        <v>1</v>
      </c>
      <c r="B2" s="89" t="str">
        <f>'Stavební rozpočet'!C2</f>
        <v>TECHNICKÉ ŘEŠENÍ VLHKOSTNÍCH PORUCH SUTERÉNNÍCH ZDÍ</v>
      </c>
      <c r="C2" s="90"/>
      <c r="D2" s="92" t="s">
        <v>462</v>
      </c>
      <c r="E2" s="92" t="str">
        <f>'Stavební rozpočet'!I2</f>
        <v> </v>
      </c>
      <c r="F2" s="86"/>
      <c r="G2" s="123"/>
      <c r="H2" s="29"/>
    </row>
    <row r="3" spans="1:9" x14ac:dyDescent="0.2">
      <c r="A3" s="87"/>
      <c r="B3" s="91"/>
      <c r="C3" s="91"/>
      <c r="D3" s="88"/>
      <c r="E3" s="88"/>
      <c r="F3" s="88"/>
      <c r="G3" s="94"/>
      <c r="H3" s="29"/>
    </row>
    <row r="4" spans="1:9" x14ac:dyDescent="0.2">
      <c r="A4" s="96" t="s">
        <v>2</v>
      </c>
      <c r="B4" s="97" t="str">
        <f>'Stavební rozpočet'!C4</f>
        <v xml:space="preserve"> </v>
      </c>
      <c r="C4" s="88"/>
      <c r="D4" s="97" t="s">
        <v>463</v>
      </c>
      <c r="E4" s="97" t="str">
        <f>'Stavební rozpočet'!I4</f>
        <v> </v>
      </c>
      <c r="F4" s="88"/>
      <c r="G4" s="94"/>
      <c r="H4" s="29"/>
    </row>
    <row r="5" spans="1:9" x14ac:dyDescent="0.2">
      <c r="A5" s="87"/>
      <c r="B5" s="88"/>
      <c r="C5" s="88"/>
      <c r="D5" s="88"/>
      <c r="E5" s="88"/>
      <c r="F5" s="88"/>
      <c r="G5" s="94"/>
      <c r="H5" s="29"/>
    </row>
    <row r="6" spans="1:9" x14ac:dyDescent="0.2">
      <c r="A6" s="96" t="s">
        <v>3</v>
      </c>
      <c r="B6" s="97" t="str">
        <f>'Stavební rozpočet'!C6</f>
        <v>ZŠ U LESA, BOŽENY NĚMCOVÉ 539, NOVÝ BOR 473 01</v>
      </c>
      <c r="C6" s="88"/>
      <c r="D6" s="97" t="s">
        <v>464</v>
      </c>
      <c r="E6" s="97" t="str">
        <f>'Stavební rozpočet'!I6</f>
        <v> </v>
      </c>
      <c r="F6" s="88"/>
      <c r="G6" s="94"/>
      <c r="H6" s="29"/>
    </row>
    <row r="7" spans="1:9" x14ac:dyDescent="0.2">
      <c r="A7" s="87"/>
      <c r="B7" s="88"/>
      <c r="C7" s="88"/>
      <c r="D7" s="88"/>
      <c r="E7" s="88"/>
      <c r="F7" s="88"/>
      <c r="G7" s="94"/>
      <c r="H7" s="29"/>
    </row>
    <row r="8" spans="1:9" x14ac:dyDescent="0.2">
      <c r="A8" s="96" t="s">
        <v>465</v>
      </c>
      <c r="B8" s="97" t="str">
        <f>'Stavební rozpočet'!I8</f>
        <v> </v>
      </c>
      <c r="C8" s="88"/>
      <c r="D8" s="100" t="s">
        <v>454</v>
      </c>
      <c r="E8" s="97"/>
      <c r="F8" s="88"/>
      <c r="G8" s="94"/>
      <c r="H8" s="29"/>
    </row>
    <row r="9" spans="1:9" x14ac:dyDescent="0.2">
      <c r="A9" s="124"/>
      <c r="B9" s="125"/>
      <c r="C9" s="125"/>
      <c r="D9" s="125"/>
      <c r="E9" s="125"/>
      <c r="F9" s="125"/>
      <c r="G9" s="126"/>
      <c r="H9" s="29"/>
    </row>
    <row r="10" spans="1:9" x14ac:dyDescent="0.2">
      <c r="A10" s="35" t="s">
        <v>547</v>
      </c>
      <c r="B10" s="36" t="s">
        <v>164</v>
      </c>
      <c r="C10" s="127" t="s">
        <v>548</v>
      </c>
      <c r="D10" s="128"/>
      <c r="E10" s="37" t="s">
        <v>549</v>
      </c>
      <c r="F10" s="37" t="s">
        <v>550</v>
      </c>
      <c r="G10" s="37" t="s">
        <v>551</v>
      </c>
      <c r="H10" s="29"/>
    </row>
    <row r="11" spans="1:9" x14ac:dyDescent="0.2">
      <c r="A11" s="79" t="s">
        <v>486</v>
      </c>
      <c r="B11" s="79"/>
      <c r="C11" s="129" t="s">
        <v>289</v>
      </c>
      <c r="D11" s="130"/>
      <c r="E11" s="80">
        <f>'Stavební rozpočet'!I12</f>
        <v>0</v>
      </c>
      <c r="F11" s="80">
        <f>'Stavební rozpočet'!J12</f>
        <v>0</v>
      </c>
      <c r="G11" s="80">
        <f>'Stavební rozpočet'!K12</f>
        <v>0</v>
      </c>
      <c r="H11" s="31" t="s">
        <v>552</v>
      </c>
      <c r="I11" s="31">
        <f t="shared" ref="I11:I42" si="0">IF(H11="F",0,G11)</f>
        <v>0</v>
      </c>
    </row>
    <row r="12" spans="1:9" x14ac:dyDescent="0.2">
      <c r="A12" s="13" t="s">
        <v>486</v>
      </c>
      <c r="B12" s="13" t="s">
        <v>17</v>
      </c>
      <c r="C12" s="100" t="s">
        <v>290</v>
      </c>
      <c r="D12" s="88"/>
      <c r="E12" s="31">
        <f>'Stavební rozpočet'!I13</f>
        <v>0</v>
      </c>
      <c r="F12" s="31">
        <f>'Stavební rozpočet'!J13</f>
        <v>0</v>
      </c>
      <c r="G12" s="31">
        <f>'Stavební rozpočet'!K13</f>
        <v>0</v>
      </c>
      <c r="H12" s="31" t="s">
        <v>553</v>
      </c>
      <c r="I12" s="31">
        <f t="shared" si="0"/>
        <v>0</v>
      </c>
    </row>
    <row r="13" spans="1:9" x14ac:dyDescent="0.2">
      <c r="A13" s="13" t="s">
        <v>486</v>
      </c>
      <c r="B13" s="13" t="s">
        <v>18</v>
      </c>
      <c r="C13" s="100" t="s">
        <v>292</v>
      </c>
      <c r="D13" s="88"/>
      <c r="E13" s="31">
        <f>'Stavební rozpočet'!I15</f>
        <v>0</v>
      </c>
      <c r="F13" s="31">
        <f>'Stavební rozpočet'!J15</f>
        <v>0</v>
      </c>
      <c r="G13" s="31">
        <f>'Stavební rozpočet'!K15</f>
        <v>0</v>
      </c>
      <c r="H13" s="31" t="s">
        <v>553</v>
      </c>
      <c r="I13" s="31">
        <f t="shared" si="0"/>
        <v>0</v>
      </c>
    </row>
    <row r="14" spans="1:9" x14ac:dyDescent="0.2">
      <c r="A14" s="13" t="s">
        <v>486</v>
      </c>
      <c r="B14" s="13" t="s">
        <v>19</v>
      </c>
      <c r="C14" s="100" t="s">
        <v>294</v>
      </c>
      <c r="D14" s="88"/>
      <c r="E14" s="31">
        <f>'Stavební rozpočet'!I17</f>
        <v>0</v>
      </c>
      <c r="F14" s="31">
        <f>'Stavební rozpočet'!J17</f>
        <v>0</v>
      </c>
      <c r="G14" s="31">
        <f>'Stavební rozpočet'!K17</f>
        <v>0</v>
      </c>
      <c r="H14" s="31" t="s">
        <v>553</v>
      </c>
      <c r="I14" s="31">
        <f t="shared" si="0"/>
        <v>0</v>
      </c>
    </row>
    <row r="15" spans="1:9" x14ac:dyDescent="0.2">
      <c r="A15" s="13" t="s">
        <v>486</v>
      </c>
      <c r="B15" s="13" t="s">
        <v>22</v>
      </c>
      <c r="C15" s="100" t="s">
        <v>298</v>
      </c>
      <c r="D15" s="88"/>
      <c r="E15" s="31">
        <f>'Stavební rozpočet'!I21</f>
        <v>0</v>
      </c>
      <c r="F15" s="31">
        <f>'Stavební rozpočet'!J21</f>
        <v>0</v>
      </c>
      <c r="G15" s="31">
        <f>'Stavební rozpočet'!K21</f>
        <v>0</v>
      </c>
      <c r="H15" s="31" t="s">
        <v>553</v>
      </c>
      <c r="I15" s="31">
        <f t="shared" si="0"/>
        <v>0</v>
      </c>
    </row>
    <row r="16" spans="1:9" x14ac:dyDescent="0.2">
      <c r="A16" s="13" t="s">
        <v>486</v>
      </c>
      <c r="B16" s="13" t="s">
        <v>23</v>
      </c>
      <c r="C16" s="100" t="s">
        <v>301</v>
      </c>
      <c r="D16" s="88"/>
      <c r="E16" s="31">
        <f>'Stavební rozpočet'!I24</f>
        <v>0</v>
      </c>
      <c r="F16" s="31">
        <f>'Stavební rozpočet'!J24</f>
        <v>0</v>
      </c>
      <c r="G16" s="31">
        <f>'Stavební rozpočet'!K24</f>
        <v>0</v>
      </c>
      <c r="H16" s="31" t="s">
        <v>553</v>
      </c>
      <c r="I16" s="31">
        <f t="shared" si="0"/>
        <v>0</v>
      </c>
    </row>
    <row r="17" spans="1:9" x14ac:dyDescent="0.2">
      <c r="A17" s="13" t="s">
        <v>486</v>
      </c>
      <c r="B17" s="13" t="s">
        <v>24</v>
      </c>
      <c r="C17" s="100" t="s">
        <v>305</v>
      </c>
      <c r="D17" s="88"/>
      <c r="E17" s="31">
        <f>'Stavební rozpočet'!I28</f>
        <v>0</v>
      </c>
      <c r="F17" s="31">
        <f>'Stavební rozpočet'!J28</f>
        <v>0</v>
      </c>
      <c r="G17" s="31">
        <f>'Stavební rozpočet'!K28</f>
        <v>0</v>
      </c>
      <c r="H17" s="31" t="s">
        <v>553</v>
      </c>
      <c r="I17" s="31">
        <f t="shared" si="0"/>
        <v>0</v>
      </c>
    </row>
    <row r="18" spans="1:9" x14ac:dyDescent="0.2">
      <c r="A18" s="13" t="s">
        <v>486</v>
      </c>
      <c r="B18" s="13" t="s">
        <v>27</v>
      </c>
      <c r="C18" s="100" t="s">
        <v>307</v>
      </c>
      <c r="D18" s="88"/>
      <c r="E18" s="31">
        <f>'Stavební rozpočet'!I30</f>
        <v>0</v>
      </c>
      <c r="F18" s="31">
        <f>'Stavební rozpočet'!J30</f>
        <v>0</v>
      </c>
      <c r="G18" s="31">
        <f>'Stavební rozpočet'!K30</f>
        <v>0</v>
      </c>
      <c r="H18" s="31" t="s">
        <v>553</v>
      </c>
      <c r="I18" s="31">
        <f t="shared" si="0"/>
        <v>0</v>
      </c>
    </row>
    <row r="19" spans="1:9" x14ac:dyDescent="0.2">
      <c r="A19" s="13" t="s">
        <v>486</v>
      </c>
      <c r="B19" s="13" t="s">
        <v>62</v>
      </c>
      <c r="C19" s="100" t="s">
        <v>311</v>
      </c>
      <c r="D19" s="88"/>
      <c r="E19" s="31">
        <f>'Stavební rozpočet'!I34</f>
        <v>0</v>
      </c>
      <c r="F19" s="31">
        <f>'Stavební rozpočet'!J34</f>
        <v>0</v>
      </c>
      <c r="G19" s="31">
        <f>'Stavební rozpočet'!K34</f>
        <v>0</v>
      </c>
      <c r="H19" s="31" t="s">
        <v>553</v>
      </c>
      <c r="I19" s="31">
        <f t="shared" si="0"/>
        <v>0</v>
      </c>
    </row>
    <row r="20" spans="1:9" x14ac:dyDescent="0.2">
      <c r="A20" s="13" t="s">
        <v>486</v>
      </c>
      <c r="B20" s="13" t="s">
        <v>65</v>
      </c>
      <c r="C20" s="100" t="s">
        <v>313</v>
      </c>
      <c r="D20" s="88"/>
      <c r="E20" s="31">
        <f>'Stavební rozpočet'!I36</f>
        <v>0</v>
      </c>
      <c r="F20" s="31">
        <f>'Stavební rozpočet'!J36</f>
        <v>0</v>
      </c>
      <c r="G20" s="31">
        <f>'Stavební rozpočet'!K36</f>
        <v>0</v>
      </c>
      <c r="H20" s="31" t="s">
        <v>553</v>
      </c>
      <c r="I20" s="31">
        <f t="shared" si="0"/>
        <v>0</v>
      </c>
    </row>
    <row r="21" spans="1:9" x14ac:dyDescent="0.2">
      <c r="A21" s="13" t="s">
        <v>486</v>
      </c>
      <c r="B21" s="13" t="s">
        <v>66</v>
      </c>
      <c r="C21" s="100" t="s">
        <v>316</v>
      </c>
      <c r="D21" s="88"/>
      <c r="E21" s="31">
        <f>'Stavební rozpočet'!I39</f>
        <v>0</v>
      </c>
      <c r="F21" s="31">
        <f>'Stavební rozpočet'!J39</f>
        <v>0</v>
      </c>
      <c r="G21" s="31">
        <f>'Stavební rozpočet'!K39</f>
        <v>0</v>
      </c>
      <c r="H21" s="31" t="s">
        <v>553</v>
      </c>
      <c r="I21" s="31">
        <f t="shared" si="0"/>
        <v>0</v>
      </c>
    </row>
    <row r="22" spans="1:9" x14ac:dyDescent="0.2">
      <c r="A22" s="13" t="s">
        <v>486</v>
      </c>
      <c r="B22" s="13" t="s">
        <v>68</v>
      </c>
      <c r="C22" s="100" t="s">
        <v>321</v>
      </c>
      <c r="D22" s="88"/>
      <c r="E22" s="31">
        <f>'Stavební rozpočet'!I44</f>
        <v>0</v>
      </c>
      <c r="F22" s="31">
        <f>'Stavební rozpočet'!J44</f>
        <v>0</v>
      </c>
      <c r="G22" s="31">
        <f>'Stavební rozpočet'!K44</f>
        <v>0</v>
      </c>
      <c r="H22" s="31" t="s">
        <v>553</v>
      </c>
      <c r="I22" s="31">
        <f t="shared" si="0"/>
        <v>0</v>
      </c>
    </row>
    <row r="23" spans="1:9" x14ac:dyDescent="0.2">
      <c r="A23" s="13" t="s">
        <v>486</v>
      </c>
      <c r="B23" s="13" t="s">
        <v>95</v>
      </c>
      <c r="C23" s="100" t="s">
        <v>324</v>
      </c>
      <c r="D23" s="88"/>
      <c r="E23" s="31">
        <f>'Stavební rozpočet'!I47</f>
        <v>0</v>
      </c>
      <c r="F23" s="31">
        <f>'Stavební rozpočet'!J47</f>
        <v>0</v>
      </c>
      <c r="G23" s="31">
        <f>'Stavební rozpočet'!K47</f>
        <v>0</v>
      </c>
      <c r="H23" s="31" t="s">
        <v>553</v>
      </c>
      <c r="I23" s="31">
        <f t="shared" si="0"/>
        <v>0</v>
      </c>
    </row>
    <row r="24" spans="1:9" x14ac:dyDescent="0.2">
      <c r="A24" s="13" t="s">
        <v>486</v>
      </c>
      <c r="B24" s="13" t="s">
        <v>97</v>
      </c>
      <c r="C24" s="100" t="s">
        <v>326</v>
      </c>
      <c r="D24" s="88"/>
      <c r="E24" s="31">
        <f>'Stavební rozpočet'!I49</f>
        <v>0</v>
      </c>
      <c r="F24" s="31">
        <f>'Stavební rozpočet'!J49</f>
        <v>0</v>
      </c>
      <c r="G24" s="31">
        <f>'Stavební rozpočet'!K49</f>
        <v>0</v>
      </c>
      <c r="H24" s="31" t="s">
        <v>553</v>
      </c>
      <c r="I24" s="31">
        <f t="shared" si="0"/>
        <v>0</v>
      </c>
    </row>
    <row r="25" spans="1:9" x14ac:dyDescent="0.2">
      <c r="A25" s="13" t="s">
        <v>486</v>
      </c>
      <c r="B25" s="13" t="s">
        <v>100</v>
      </c>
      <c r="C25" s="100" t="s">
        <v>330</v>
      </c>
      <c r="D25" s="88"/>
      <c r="E25" s="31">
        <f>'Stavební rozpočet'!I53</f>
        <v>0</v>
      </c>
      <c r="F25" s="31">
        <f>'Stavební rozpočet'!J53</f>
        <v>0</v>
      </c>
      <c r="G25" s="31">
        <f>'Stavební rozpočet'!K53</f>
        <v>0</v>
      </c>
      <c r="H25" s="31" t="s">
        <v>553</v>
      </c>
      <c r="I25" s="31">
        <f t="shared" si="0"/>
        <v>0</v>
      </c>
    </row>
    <row r="26" spans="1:9" x14ac:dyDescent="0.2">
      <c r="A26" s="13" t="s">
        <v>486</v>
      </c>
      <c r="B26" s="13" t="s">
        <v>103</v>
      </c>
      <c r="C26" s="100" t="s">
        <v>332</v>
      </c>
      <c r="D26" s="88"/>
      <c r="E26" s="31">
        <f>'Stavební rozpočet'!I55</f>
        <v>0</v>
      </c>
      <c r="F26" s="31">
        <f>'Stavební rozpočet'!J55</f>
        <v>0</v>
      </c>
      <c r="G26" s="31">
        <f>'Stavební rozpočet'!K55</f>
        <v>0</v>
      </c>
      <c r="H26" s="31" t="s">
        <v>553</v>
      </c>
      <c r="I26" s="31">
        <f t="shared" si="0"/>
        <v>0</v>
      </c>
    </row>
    <row r="27" spans="1:9" x14ac:dyDescent="0.2">
      <c r="A27" s="13" t="s">
        <v>486</v>
      </c>
      <c r="B27" s="13" t="s">
        <v>194</v>
      </c>
      <c r="C27" s="100" t="s">
        <v>335</v>
      </c>
      <c r="D27" s="88"/>
      <c r="E27" s="31">
        <f>'Stavební rozpočet'!I58</f>
        <v>0</v>
      </c>
      <c r="F27" s="31">
        <f>'Stavební rozpočet'!J58</f>
        <v>0</v>
      </c>
      <c r="G27" s="31">
        <f>'Stavební rozpočet'!K58</f>
        <v>0</v>
      </c>
      <c r="H27" s="31" t="s">
        <v>553</v>
      </c>
      <c r="I27" s="31">
        <f t="shared" si="0"/>
        <v>0</v>
      </c>
    </row>
    <row r="28" spans="1:9" x14ac:dyDescent="0.2">
      <c r="A28" s="13" t="s">
        <v>486</v>
      </c>
      <c r="B28" s="13" t="s">
        <v>202</v>
      </c>
      <c r="C28" s="100" t="s">
        <v>343</v>
      </c>
      <c r="D28" s="88"/>
      <c r="E28" s="31">
        <f>'Stavební rozpočet'!I66</f>
        <v>0</v>
      </c>
      <c r="F28" s="31">
        <f>'Stavební rozpočet'!J66</f>
        <v>0</v>
      </c>
      <c r="G28" s="31">
        <f>'Stavební rozpočet'!K66</f>
        <v>0</v>
      </c>
      <c r="H28" s="31" t="s">
        <v>553</v>
      </c>
      <c r="I28" s="31">
        <f t="shared" si="0"/>
        <v>0</v>
      </c>
    </row>
    <row r="29" spans="1:9" x14ac:dyDescent="0.2">
      <c r="A29" s="13" t="s">
        <v>486</v>
      </c>
      <c r="B29" s="13" t="s">
        <v>204</v>
      </c>
      <c r="C29" s="100" t="s">
        <v>345</v>
      </c>
      <c r="D29" s="88"/>
      <c r="E29" s="31">
        <f>'Stavební rozpočet'!I68</f>
        <v>0</v>
      </c>
      <c r="F29" s="31">
        <f>'Stavební rozpočet'!J68</f>
        <v>0</v>
      </c>
      <c r="G29" s="31">
        <f>'Stavební rozpočet'!K68</f>
        <v>0</v>
      </c>
      <c r="H29" s="31" t="s">
        <v>553</v>
      </c>
      <c r="I29" s="31">
        <f t="shared" si="0"/>
        <v>0</v>
      </c>
    </row>
    <row r="30" spans="1:9" x14ac:dyDescent="0.2">
      <c r="A30" s="13" t="s">
        <v>486</v>
      </c>
      <c r="B30" s="13" t="s">
        <v>208</v>
      </c>
      <c r="C30" s="100" t="s">
        <v>349</v>
      </c>
      <c r="D30" s="88"/>
      <c r="E30" s="31">
        <f>'Stavební rozpočet'!I72</f>
        <v>0</v>
      </c>
      <c r="F30" s="31">
        <f>'Stavební rozpočet'!J72</f>
        <v>0</v>
      </c>
      <c r="G30" s="31">
        <f>'Stavební rozpočet'!K72</f>
        <v>0</v>
      </c>
      <c r="H30" s="31" t="s">
        <v>553</v>
      </c>
      <c r="I30" s="31">
        <f t="shared" si="0"/>
        <v>0</v>
      </c>
    </row>
    <row r="31" spans="1:9" x14ac:dyDescent="0.2">
      <c r="A31" s="13" t="s">
        <v>486</v>
      </c>
      <c r="B31" s="13" t="s">
        <v>212</v>
      </c>
      <c r="C31" s="100" t="s">
        <v>353</v>
      </c>
      <c r="D31" s="88"/>
      <c r="E31" s="31">
        <f>'Stavební rozpočet'!I76</f>
        <v>0</v>
      </c>
      <c r="F31" s="31">
        <f>'Stavební rozpočet'!J76</f>
        <v>0</v>
      </c>
      <c r="G31" s="31">
        <f>'Stavební rozpočet'!K76</f>
        <v>0</v>
      </c>
      <c r="H31" s="31" t="s">
        <v>553</v>
      </c>
      <c r="I31" s="31">
        <f t="shared" si="0"/>
        <v>0</v>
      </c>
    </row>
    <row r="32" spans="1:9" x14ac:dyDescent="0.2">
      <c r="A32" s="81" t="s">
        <v>487</v>
      </c>
      <c r="B32" s="81"/>
      <c r="C32" s="131" t="s">
        <v>361</v>
      </c>
      <c r="D32" s="132"/>
      <c r="E32" s="82">
        <f>'Stavební rozpočet'!I84</f>
        <v>0</v>
      </c>
      <c r="F32" s="82">
        <f>'Stavební rozpočet'!J84</f>
        <v>0</v>
      </c>
      <c r="G32" s="82">
        <f>'Stavební rozpočet'!K84</f>
        <v>0</v>
      </c>
      <c r="H32" s="31" t="s">
        <v>552</v>
      </c>
      <c r="I32" s="31">
        <f t="shared" si="0"/>
        <v>0</v>
      </c>
    </row>
    <row r="33" spans="1:9" x14ac:dyDescent="0.2">
      <c r="A33" s="13" t="s">
        <v>487</v>
      </c>
      <c r="B33" s="13" t="s">
        <v>17</v>
      </c>
      <c r="C33" s="100" t="s">
        <v>290</v>
      </c>
      <c r="D33" s="88"/>
      <c r="E33" s="31">
        <f>'Stavební rozpočet'!I85</f>
        <v>0</v>
      </c>
      <c r="F33" s="31">
        <f>'Stavební rozpočet'!J85</f>
        <v>0</v>
      </c>
      <c r="G33" s="31">
        <f>'Stavební rozpočet'!K85</f>
        <v>0</v>
      </c>
      <c r="H33" s="31" t="s">
        <v>553</v>
      </c>
      <c r="I33" s="31">
        <f t="shared" si="0"/>
        <v>0</v>
      </c>
    </row>
    <row r="34" spans="1:9" x14ac:dyDescent="0.2">
      <c r="A34" s="13" t="s">
        <v>487</v>
      </c>
      <c r="B34" s="13" t="s">
        <v>27</v>
      </c>
      <c r="C34" s="100" t="s">
        <v>307</v>
      </c>
      <c r="D34" s="88"/>
      <c r="E34" s="31">
        <f>'Stavební rozpočet'!I88</f>
        <v>0</v>
      </c>
      <c r="F34" s="31">
        <f>'Stavební rozpočet'!J88</f>
        <v>0</v>
      </c>
      <c r="G34" s="31">
        <f>'Stavební rozpočet'!K88</f>
        <v>0</v>
      </c>
      <c r="H34" s="31" t="s">
        <v>553</v>
      </c>
      <c r="I34" s="31">
        <f t="shared" si="0"/>
        <v>0</v>
      </c>
    </row>
    <row r="35" spans="1:9" x14ac:dyDescent="0.2">
      <c r="A35" s="13" t="s">
        <v>487</v>
      </c>
      <c r="B35" s="13" t="s">
        <v>47</v>
      </c>
      <c r="C35" s="100" t="s">
        <v>364</v>
      </c>
      <c r="D35" s="88"/>
      <c r="E35" s="31">
        <f>'Stavební rozpočet'!I90</f>
        <v>0</v>
      </c>
      <c r="F35" s="31">
        <f>'Stavební rozpočet'!J90</f>
        <v>0</v>
      </c>
      <c r="G35" s="31">
        <f>'Stavební rozpočet'!K90</f>
        <v>0</v>
      </c>
      <c r="H35" s="31" t="s">
        <v>553</v>
      </c>
      <c r="I35" s="31">
        <f t="shared" si="0"/>
        <v>0</v>
      </c>
    </row>
    <row r="36" spans="1:9" x14ac:dyDescent="0.2">
      <c r="A36" s="13" t="s">
        <v>487</v>
      </c>
      <c r="B36" s="13" t="s">
        <v>62</v>
      </c>
      <c r="C36" s="100" t="s">
        <v>311</v>
      </c>
      <c r="D36" s="88"/>
      <c r="E36" s="31">
        <f>'Stavební rozpočet'!I95</f>
        <v>0</v>
      </c>
      <c r="F36" s="31">
        <f>'Stavební rozpočet'!J95</f>
        <v>0</v>
      </c>
      <c r="G36" s="31">
        <f>'Stavební rozpočet'!K95</f>
        <v>0</v>
      </c>
      <c r="H36" s="31" t="s">
        <v>553</v>
      </c>
      <c r="I36" s="31">
        <f t="shared" si="0"/>
        <v>0</v>
      </c>
    </row>
    <row r="37" spans="1:9" x14ac:dyDescent="0.2">
      <c r="A37" s="13" t="s">
        <v>487</v>
      </c>
      <c r="B37" s="13" t="s">
        <v>65</v>
      </c>
      <c r="C37" s="100" t="s">
        <v>313</v>
      </c>
      <c r="D37" s="88"/>
      <c r="E37" s="31">
        <f>'Stavební rozpočet'!I98</f>
        <v>0</v>
      </c>
      <c r="F37" s="31">
        <f>'Stavební rozpočet'!J98</f>
        <v>0</v>
      </c>
      <c r="G37" s="31">
        <f>'Stavební rozpočet'!K98</f>
        <v>0</v>
      </c>
      <c r="H37" s="31" t="s">
        <v>553</v>
      </c>
      <c r="I37" s="31">
        <f t="shared" si="0"/>
        <v>0</v>
      </c>
    </row>
    <row r="38" spans="1:9" x14ac:dyDescent="0.2">
      <c r="A38" s="13" t="s">
        <v>487</v>
      </c>
      <c r="B38" s="13" t="s">
        <v>66</v>
      </c>
      <c r="C38" s="100" t="s">
        <v>316</v>
      </c>
      <c r="D38" s="88"/>
      <c r="E38" s="31">
        <f>'Stavební rozpočet'!I106</f>
        <v>0</v>
      </c>
      <c r="F38" s="31">
        <f>'Stavební rozpočet'!J106</f>
        <v>0</v>
      </c>
      <c r="G38" s="31">
        <f>'Stavební rozpočet'!K106</f>
        <v>0</v>
      </c>
      <c r="H38" s="31" t="s">
        <v>553</v>
      </c>
      <c r="I38" s="31">
        <f t="shared" si="0"/>
        <v>0</v>
      </c>
    </row>
    <row r="39" spans="1:9" x14ac:dyDescent="0.2">
      <c r="A39" s="13" t="s">
        <v>487</v>
      </c>
      <c r="B39" s="13" t="s">
        <v>67</v>
      </c>
      <c r="C39" s="100" t="s">
        <v>382</v>
      </c>
      <c r="D39" s="88"/>
      <c r="E39" s="31">
        <f>'Stavební rozpočet'!I114</f>
        <v>0</v>
      </c>
      <c r="F39" s="31">
        <f>'Stavební rozpočet'!J114</f>
        <v>0</v>
      </c>
      <c r="G39" s="31">
        <f>'Stavební rozpočet'!K114</f>
        <v>0</v>
      </c>
      <c r="H39" s="31" t="s">
        <v>553</v>
      </c>
      <c r="I39" s="31">
        <f t="shared" si="0"/>
        <v>0</v>
      </c>
    </row>
    <row r="40" spans="1:9" x14ac:dyDescent="0.2">
      <c r="A40" s="13" t="s">
        <v>487</v>
      </c>
      <c r="B40" s="13" t="s">
        <v>68</v>
      </c>
      <c r="C40" s="100" t="s">
        <v>321</v>
      </c>
      <c r="D40" s="88"/>
      <c r="E40" s="31">
        <f>'Stavební rozpočet'!I116</f>
        <v>0</v>
      </c>
      <c r="F40" s="31">
        <f>'Stavební rozpočet'!J116</f>
        <v>0</v>
      </c>
      <c r="G40" s="31">
        <f>'Stavební rozpočet'!K116</f>
        <v>0</v>
      </c>
      <c r="H40" s="31" t="s">
        <v>553</v>
      </c>
      <c r="I40" s="31">
        <f t="shared" si="0"/>
        <v>0</v>
      </c>
    </row>
    <row r="41" spans="1:9" x14ac:dyDescent="0.2">
      <c r="A41" s="13" t="s">
        <v>487</v>
      </c>
      <c r="B41" s="13" t="s">
        <v>69</v>
      </c>
      <c r="C41" s="100" t="s">
        <v>385</v>
      </c>
      <c r="D41" s="88"/>
      <c r="E41" s="31">
        <f>'Stavební rozpočet'!I118</f>
        <v>0</v>
      </c>
      <c r="F41" s="31">
        <f>'Stavební rozpočet'!J118</f>
        <v>0</v>
      </c>
      <c r="G41" s="31">
        <f>'Stavební rozpočet'!K118</f>
        <v>0</v>
      </c>
      <c r="H41" s="31" t="s">
        <v>553</v>
      </c>
      <c r="I41" s="31">
        <f t="shared" si="0"/>
        <v>0</v>
      </c>
    </row>
    <row r="42" spans="1:9" x14ac:dyDescent="0.2">
      <c r="A42" s="13" t="s">
        <v>487</v>
      </c>
      <c r="B42" s="13" t="s">
        <v>95</v>
      </c>
      <c r="C42" s="100" t="s">
        <v>324</v>
      </c>
      <c r="D42" s="88"/>
      <c r="E42" s="31">
        <f>'Stavební rozpočet'!I122</f>
        <v>0</v>
      </c>
      <c r="F42" s="31">
        <f>'Stavební rozpočet'!J122</f>
        <v>0</v>
      </c>
      <c r="G42" s="31">
        <f>'Stavební rozpočet'!K122</f>
        <v>0</v>
      </c>
      <c r="H42" s="31" t="s">
        <v>553</v>
      </c>
      <c r="I42" s="31">
        <f t="shared" si="0"/>
        <v>0</v>
      </c>
    </row>
    <row r="43" spans="1:9" x14ac:dyDescent="0.2">
      <c r="A43" s="13" t="s">
        <v>487</v>
      </c>
      <c r="B43" s="13" t="s">
        <v>97</v>
      </c>
      <c r="C43" s="100" t="s">
        <v>326</v>
      </c>
      <c r="D43" s="88"/>
      <c r="E43" s="31">
        <f>'Stavební rozpočet'!I128</f>
        <v>0</v>
      </c>
      <c r="F43" s="31">
        <f>'Stavební rozpočet'!J128</f>
        <v>0</v>
      </c>
      <c r="G43" s="31">
        <f>'Stavební rozpočet'!K128</f>
        <v>0</v>
      </c>
      <c r="H43" s="31" t="s">
        <v>553</v>
      </c>
      <c r="I43" s="31">
        <f t="shared" ref="I43:I60" si="1">IF(H43="F",0,G43)</f>
        <v>0</v>
      </c>
    </row>
    <row r="44" spans="1:9" x14ac:dyDescent="0.2">
      <c r="A44" s="13" t="s">
        <v>487</v>
      </c>
      <c r="B44" s="13" t="s">
        <v>99</v>
      </c>
      <c r="C44" s="100" t="s">
        <v>395</v>
      </c>
      <c r="D44" s="88"/>
      <c r="E44" s="31">
        <f>'Stavební rozpočet'!I133</f>
        <v>0</v>
      </c>
      <c r="F44" s="31">
        <f>'Stavební rozpočet'!J133</f>
        <v>0</v>
      </c>
      <c r="G44" s="31">
        <f>'Stavební rozpočet'!K133</f>
        <v>0</v>
      </c>
      <c r="H44" s="31" t="s">
        <v>553</v>
      </c>
      <c r="I44" s="31">
        <f t="shared" si="1"/>
        <v>0</v>
      </c>
    </row>
    <row r="45" spans="1:9" x14ac:dyDescent="0.2">
      <c r="A45" s="13" t="s">
        <v>487</v>
      </c>
      <c r="B45" s="13" t="s">
        <v>102</v>
      </c>
      <c r="C45" s="100" t="s">
        <v>398</v>
      </c>
      <c r="D45" s="88"/>
      <c r="E45" s="31">
        <f>'Stavební rozpočet'!I136</f>
        <v>0</v>
      </c>
      <c r="F45" s="31">
        <f>'Stavební rozpočet'!J136</f>
        <v>0</v>
      </c>
      <c r="G45" s="31">
        <f>'Stavební rozpočet'!K136</f>
        <v>0</v>
      </c>
      <c r="H45" s="31" t="s">
        <v>553</v>
      </c>
      <c r="I45" s="31">
        <f t="shared" si="1"/>
        <v>0</v>
      </c>
    </row>
    <row r="46" spans="1:9" x14ac:dyDescent="0.2">
      <c r="A46" s="13" t="s">
        <v>487</v>
      </c>
      <c r="B46" s="13" t="s">
        <v>103</v>
      </c>
      <c r="C46" s="100" t="s">
        <v>332</v>
      </c>
      <c r="D46" s="88"/>
      <c r="E46" s="31">
        <f>'Stavební rozpočet'!I142</f>
        <v>0</v>
      </c>
      <c r="F46" s="31">
        <f>'Stavební rozpočet'!J142</f>
        <v>0</v>
      </c>
      <c r="G46" s="31">
        <f>'Stavební rozpočet'!K142</f>
        <v>0</v>
      </c>
      <c r="H46" s="31" t="s">
        <v>553</v>
      </c>
      <c r="I46" s="31">
        <f t="shared" si="1"/>
        <v>0</v>
      </c>
    </row>
    <row r="47" spans="1:9" x14ac:dyDescent="0.2">
      <c r="A47" s="13" t="s">
        <v>487</v>
      </c>
      <c r="B47" s="13" t="s">
        <v>194</v>
      </c>
      <c r="C47" s="100" t="s">
        <v>335</v>
      </c>
      <c r="D47" s="88"/>
      <c r="E47" s="31">
        <f>'Stavební rozpočet'!I147</f>
        <v>0</v>
      </c>
      <c r="F47" s="31">
        <f>'Stavební rozpočet'!J147</f>
        <v>0</v>
      </c>
      <c r="G47" s="31">
        <f>'Stavební rozpočet'!K147</f>
        <v>0</v>
      </c>
      <c r="H47" s="31" t="s">
        <v>553</v>
      </c>
      <c r="I47" s="31">
        <f t="shared" si="1"/>
        <v>0</v>
      </c>
    </row>
    <row r="48" spans="1:9" x14ac:dyDescent="0.2">
      <c r="A48" s="13" t="s">
        <v>487</v>
      </c>
      <c r="B48" s="13" t="s">
        <v>202</v>
      </c>
      <c r="C48" s="100" t="s">
        <v>343</v>
      </c>
      <c r="D48" s="88"/>
      <c r="E48" s="31">
        <f>'Stavební rozpočet'!I159</f>
        <v>0</v>
      </c>
      <c r="F48" s="31">
        <f>'Stavební rozpočet'!J159</f>
        <v>0</v>
      </c>
      <c r="G48" s="31">
        <f>'Stavební rozpočet'!K159</f>
        <v>0</v>
      </c>
      <c r="H48" s="31" t="s">
        <v>553</v>
      </c>
      <c r="I48" s="31">
        <f t="shared" si="1"/>
        <v>0</v>
      </c>
    </row>
    <row r="49" spans="1:9" x14ac:dyDescent="0.2">
      <c r="A49" s="13" t="s">
        <v>487</v>
      </c>
      <c r="B49" s="13" t="s">
        <v>208</v>
      </c>
      <c r="C49" s="100" t="s">
        <v>349</v>
      </c>
      <c r="D49" s="88"/>
      <c r="E49" s="31">
        <f>'Stavební rozpočet'!I161</f>
        <v>0</v>
      </c>
      <c r="F49" s="31">
        <f>'Stavební rozpočet'!J161</f>
        <v>0</v>
      </c>
      <c r="G49" s="31">
        <f>'Stavební rozpočet'!K161</f>
        <v>0</v>
      </c>
      <c r="H49" s="31" t="s">
        <v>553</v>
      </c>
      <c r="I49" s="31">
        <f t="shared" si="1"/>
        <v>0</v>
      </c>
    </row>
    <row r="50" spans="1:9" x14ac:dyDescent="0.2">
      <c r="A50" s="13" t="s">
        <v>487</v>
      </c>
      <c r="B50" s="13" t="s">
        <v>258</v>
      </c>
      <c r="C50" s="100" t="s">
        <v>415</v>
      </c>
      <c r="D50" s="88"/>
      <c r="E50" s="31">
        <f>'Stavební rozpočet'!I165</f>
        <v>0</v>
      </c>
      <c r="F50" s="31">
        <f>'Stavební rozpočet'!J165</f>
        <v>0</v>
      </c>
      <c r="G50" s="31">
        <f>'Stavební rozpočet'!K165</f>
        <v>0</v>
      </c>
      <c r="H50" s="31" t="s">
        <v>553</v>
      </c>
      <c r="I50" s="31">
        <f t="shared" si="1"/>
        <v>0</v>
      </c>
    </row>
    <row r="51" spans="1:9" x14ac:dyDescent="0.2">
      <c r="A51" s="13" t="s">
        <v>487</v>
      </c>
      <c r="B51" s="13" t="s">
        <v>268</v>
      </c>
      <c r="C51" s="100" t="s">
        <v>425</v>
      </c>
      <c r="D51" s="88"/>
      <c r="E51" s="31">
        <f>'Stavební rozpočet'!I176</f>
        <v>0</v>
      </c>
      <c r="F51" s="31">
        <f>'Stavební rozpočet'!J176</f>
        <v>0</v>
      </c>
      <c r="G51" s="31">
        <f>'Stavební rozpočet'!K176</f>
        <v>0</v>
      </c>
      <c r="H51" s="31" t="s">
        <v>553</v>
      </c>
      <c r="I51" s="31">
        <f t="shared" si="1"/>
        <v>0</v>
      </c>
    </row>
    <row r="52" spans="1:9" x14ac:dyDescent="0.2">
      <c r="A52" s="81" t="s">
        <v>488</v>
      </c>
      <c r="B52" s="81"/>
      <c r="C52" s="131" t="s">
        <v>434</v>
      </c>
      <c r="D52" s="132"/>
      <c r="E52" s="82">
        <f>'Stavební rozpočet'!I185</f>
        <v>0</v>
      </c>
      <c r="F52" s="82">
        <f>'Stavební rozpočet'!J185</f>
        <v>0</v>
      </c>
      <c r="G52" s="82">
        <f>'Stavební rozpočet'!K185</f>
        <v>0</v>
      </c>
      <c r="H52" s="31" t="s">
        <v>552</v>
      </c>
      <c r="I52" s="31">
        <f t="shared" si="1"/>
        <v>0</v>
      </c>
    </row>
    <row r="53" spans="1:9" x14ac:dyDescent="0.2">
      <c r="A53" s="13" t="s">
        <v>488</v>
      </c>
      <c r="B53" s="13" t="s">
        <v>66</v>
      </c>
      <c r="C53" s="100" t="s">
        <v>316</v>
      </c>
      <c r="D53" s="88"/>
      <c r="E53" s="31">
        <f>'Stavební rozpočet'!I186</f>
        <v>0</v>
      </c>
      <c r="F53" s="31">
        <f>'Stavební rozpočet'!J186</f>
        <v>0</v>
      </c>
      <c r="G53" s="31">
        <f>'Stavební rozpočet'!K186</f>
        <v>0</v>
      </c>
      <c r="H53" s="31" t="s">
        <v>553</v>
      </c>
      <c r="I53" s="31">
        <f t="shared" si="1"/>
        <v>0</v>
      </c>
    </row>
    <row r="54" spans="1:9" x14ac:dyDescent="0.2">
      <c r="A54" s="13" t="s">
        <v>488</v>
      </c>
      <c r="B54" s="13" t="s">
        <v>100</v>
      </c>
      <c r="C54" s="100" t="s">
        <v>330</v>
      </c>
      <c r="D54" s="88"/>
      <c r="E54" s="31">
        <f>'Stavební rozpočet'!I191</f>
        <v>0</v>
      </c>
      <c r="F54" s="31">
        <f>'Stavební rozpočet'!J191</f>
        <v>0</v>
      </c>
      <c r="G54" s="31">
        <f>'Stavební rozpočet'!K191</f>
        <v>0</v>
      </c>
      <c r="H54" s="31" t="s">
        <v>553</v>
      </c>
      <c r="I54" s="31">
        <f t="shared" si="1"/>
        <v>0</v>
      </c>
    </row>
    <row r="55" spans="1:9" x14ac:dyDescent="0.2">
      <c r="A55" s="13" t="s">
        <v>488</v>
      </c>
      <c r="B55" s="13" t="s">
        <v>103</v>
      </c>
      <c r="C55" s="100" t="s">
        <v>332</v>
      </c>
      <c r="D55" s="88"/>
      <c r="E55" s="31">
        <f>'Stavební rozpočet'!I195</f>
        <v>0</v>
      </c>
      <c r="F55" s="31">
        <f>'Stavební rozpočet'!J195</f>
        <v>0</v>
      </c>
      <c r="G55" s="31">
        <f>'Stavební rozpočet'!K195</f>
        <v>0</v>
      </c>
      <c r="H55" s="31" t="s">
        <v>553</v>
      </c>
      <c r="I55" s="31">
        <f t="shared" si="1"/>
        <v>0</v>
      </c>
    </row>
    <row r="56" spans="1:9" x14ac:dyDescent="0.2">
      <c r="A56" s="13" t="s">
        <v>488</v>
      </c>
      <c r="B56" s="13" t="s">
        <v>194</v>
      </c>
      <c r="C56" s="100" t="s">
        <v>335</v>
      </c>
      <c r="D56" s="88"/>
      <c r="E56" s="31">
        <f>'Stavební rozpočet'!I198</f>
        <v>0</v>
      </c>
      <c r="F56" s="31">
        <f>'Stavební rozpočet'!J198</f>
        <v>0</v>
      </c>
      <c r="G56" s="31">
        <f>'Stavební rozpočet'!K198</f>
        <v>0</v>
      </c>
      <c r="H56" s="31" t="s">
        <v>553</v>
      </c>
      <c r="I56" s="31">
        <f t="shared" si="1"/>
        <v>0</v>
      </c>
    </row>
    <row r="57" spans="1:9" x14ac:dyDescent="0.2">
      <c r="A57" s="13" t="s">
        <v>488</v>
      </c>
      <c r="B57" s="13" t="s">
        <v>202</v>
      </c>
      <c r="C57" s="100" t="s">
        <v>343</v>
      </c>
      <c r="D57" s="88"/>
      <c r="E57" s="31">
        <f>'Stavební rozpočet'!I206</f>
        <v>0</v>
      </c>
      <c r="F57" s="31">
        <f>'Stavební rozpočet'!J206</f>
        <v>0</v>
      </c>
      <c r="G57" s="31">
        <f>'Stavební rozpočet'!K206</f>
        <v>0</v>
      </c>
      <c r="H57" s="31" t="s">
        <v>553</v>
      </c>
      <c r="I57" s="31">
        <f t="shared" si="1"/>
        <v>0</v>
      </c>
    </row>
    <row r="58" spans="1:9" x14ac:dyDescent="0.2">
      <c r="A58" s="13" t="s">
        <v>488</v>
      </c>
      <c r="B58" s="13" t="s">
        <v>212</v>
      </c>
      <c r="C58" s="100" t="s">
        <v>353</v>
      </c>
      <c r="D58" s="88"/>
      <c r="E58" s="31">
        <f>'Stavební rozpočet'!I208</f>
        <v>0</v>
      </c>
      <c r="F58" s="31">
        <f>'Stavební rozpočet'!J208</f>
        <v>0</v>
      </c>
      <c r="G58" s="31">
        <f>'Stavební rozpočet'!K208</f>
        <v>0</v>
      </c>
      <c r="H58" s="31" t="s">
        <v>553</v>
      </c>
      <c r="I58" s="31">
        <f t="shared" si="1"/>
        <v>0</v>
      </c>
    </row>
    <row r="59" spans="1:9" x14ac:dyDescent="0.2">
      <c r="A59" s="81" t="s">
        <v>279</v>
      </c>
      <c r="B59" s="81"/>
      <c r="C59" s="131" t="s">
        <v>445</v>
      </c>
      <c r="D59" s="132"/>
      <c r="E59" s="82">
        <f>'Stavební rozpočet'!I213</f>
        <v>0</v>
      </c>
      <c r="F59" s="82">
        <f>'Stavební rozpočet'!J213</f>
        <v>0</v>
      </c>
      <c r="G59" s="82">
        <f>'Stavební rozpočet'!K213</f>
        <v>0</v>
      </c>
      <c r="H59" s="31" t="s">
        <v>552</v>
      </c>
      <c r="I59" s="31">
        <f t="shared" si="1"/>
        <v>0</v>
      </c>
    </row>
    <row r="60" spans="1:9" x14ac:dyDescent="0.2">
      <c r="A60" s="13" t="s">
        <v>279</v>
      </c>
      <c r="B60" s="13" t="s">
        <v>279</v>
      </c>
      <c r="C60" s="100" t="s">
        <v>445</v>
      </c>
      <c r="D60" s="88"/>
      <c r="E60" s="31">
        <f>'Stavební rozpočet'!I214</f>
        <v>0</v>
      </c>
      <c r="F60" s="31">
        <f>'Stavební rozpočet'!J214</f>
        <v>0</v>
      </c>
      <c r="G60" s="31">
        <f>'Stavební rozpočet'!K214</f>
        <v>0</v>
      </c>
      <c r="H60" s="31" t="s">
        <v>553</v>
      </c>
      <c r="I60" s="31">
        <f t="shared" si="1"/>
        <v>0</v>
      </c>
    </row>
    <row r="62" spans="1:9" x14ac:dyDescent="0.2">
      <c r="F62" s="38" t="s">
        <v>471</v>
      </c>
      <c r="G62" s="39">
        <f>SUM(I11:I60)</f>
        <v>0</v>
      </c>
    </row>
  </sheetData>
  <mergeCells count="68">
    <mergeCell ref="C58:D58"/>
    <mergeCell ref="C59:D59"/>
    <mergeCell ref="C60:D60"/>
    <mergeCell ref="C52:D52"/>
    <mergeCell ref="C53:D53"/>
    <mergeCell ref="C54:D54"/>
    <mergeCell ref="C55:D55"/>
    <mergeCell ref="C56:D56"/>
    <mergeCell ref="C57:D57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C10:D10"/>
    <mergeCell ref="C11:D11"/>
    <mergeCell ref="C12:D12"/>
    <mergeCell ref="C13:D13"/>
    <mergeCell ref="C14:D14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222"/>
  <sheetViews>
    <sheetView workbookViewId="0">
      <pane ySplit="11" topLeftCell="A12" activePane="bottomLeft" state="frozenSplit"/>
      <selection pane="bottomLeft" activeCell="A2" sqref="A2:B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98.85546875" customWidth="1"/>
    <col min="6" max="6" width="4.2851562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122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62" x14ac:dyDescent="0.2">
      <c r="A2" s="85" t="s">
        <v>1</v>
      </c>
      <c r="B2" s="86"/>
      <c r="C2" s="89" t="s">
        <v>285</v>
      </c>
      <c r="D2" s="133" t="s">
        <v>451</v>
      </c>
      <c r="E2" s="86"/>
      <c r="F2" s="133" t="s">
        <v>6</v>
      </c>
      <c r="G2" s="86"/>
      <c r="H2" s="92" t="s">
        <v>462</v>
      </c>
      <c r="I2" s="133" t="s">
        <v>468</v>
      </c>
      <c r="J2" s="86"/>
      <c r="K2" s="86"/>
      <c r="L2" s="123"/>
      <c r="M2" s="29"/>
    </row>
    <row r="3" spans="1:62" x14ac:dyDescent="0.2">
      <c r="A3" s="87"/>
      <c r="B3" s="88"/>
      <c r="C3" s="91"/>
      <c r="D3" s="88"/>
      <c r="E3" s="88"/>
      <c r="F3" s="88"/>
      <c r="G3" s="88"/>
      <c r="H3" s="88"/>
      <c r="I3" s="88"/>
      <c r="J3" s="88"/>
      <c r="K3" s="88"/>
      <c r="L3" s="94"/>
      <c r="M3" s="29"/>
    </row>
    <row r="4" spans="1:62" x14ac:dyDescent="0.2">
      <c r="A4" s="96" t="s">
        <v>2</v>
      </c>
      <c r="B4" s="88"/>
      <c r="C4" s="97" t="s">
        <v>6</v>
      </c>
      <c r="D4" s="100" t="s">
        <v>452</v>
      </c>
      <c r="E4" s="88"/>
      <c r="F4" s="100"/>
      <c r="G4" s="88"/>
      <c r="H4" s="97" t="s">
        <v>463</v>
      </c>
      <c r="I4" s="100" t="s">
        <v>468</v>
      </c>
      <c r="J4" s="88"/>
      <c r="K4" s="88"/>
      <c r="L4" s="94"/>
      <c r="M4" s="29"/>
    </row>
    <row r="5" spans="1:62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94"/>
      <c r="M5" s="29"/>
    </row>
    <row r="6" spans="1:62" x14ac:dyDescent="0.2">
      <c r="A6" s="96" t="s">
        <v>3</v>
      </c>
      <c r="B6" s="88"/>
      <c r="C6" s="97" t="s">
        <v>286</v>
      </c>
      <c r="D6" s="100" t="s">
        <v>453</v>
      </c>
      <c r="E6" s="88"/>
      <c r="F6" s="100"/>
      <c r="G6" s="88"/>
      <c r="H6" s="97" t="s">
        <v>464</v>
      </c>
      <c r="I6" s="100" t="s">
        <v>468</v>
      </c>
      <c r="J6" s="88"/>
      <c r="K6" s="88"/>
      <c r="L6" s="94"/>
      <c r="M6" s="29"/>
    </row>
    <row r="7" spans="1:62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94"/>
      <c r="M7" s="29"/>
    </row>
    <row r="8" spans="1:62" x14ac:dyDescent="0.2">
      <c r="A8" s="96" t="s">
        <v>4</v>
      </c>
      <c r="B8" s="88"/>
      <c r="C8" s="97" t="s">
        <v>6</v>
      </c>
      <c r="D8" s="100" t="s">
        <v>454</v>
      </c>
      <c r="E8" s="88"/>
      <c r="F8" s="100"/>
      <c r="G8" s="88"/>
      <c r="H8" s="97" t="s">
        <v>465</v>
      </c>
      <c r="I8" s="100" t="s">
        <v>468</v>
      </c>
      <c r="J8" s="88"/>
      <c r="K8" s="88"/>
      <c r="L8" s="94"/>
      <c r="M8" s="29"/>
    </row>
    <row r="9" spans="1:62" x14ac:dyDescent="0.2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29"/>
    </row>
    <row r="10" spans="1:62" x14ac:dyDescent="0.2">
      <c r="A10" s="1" t="s">
        <v>5</v>
      </c>
      <c r="B10" s="9" t="s">
        <v>164</v>
      </c>
      <c r="C10" s="140" t="s">
        <v>287</v>
      </c>
      <c r="D10" s="141"/>
      <c r="E10" s="142"/>
      <c r="F10" s="9" t="s">
        <v>455</v>
      </c>
      <c r="G10" s="14" t="s">
        <v>461</v>
      </c>
      <c r="H10" s="18" t="s">
        <v>466</v>
      </c>
      <c r="I10" s="143" t="s">
        <v>469</v>
      </c>
      <c r="J10" s="144"/>
      <c r="K10" s="145"/>
      <c r="L10" s="23" t="s">
        <v>474</v>
      </c>
      <c r="M10" s="30"/>
    </row>
    <row r="11" spans="1:62" x14ac:dyDescent="0.2">
      <c r="A11" s="2" t="s">
        <v>6</v>
      </c>
      <c r="B11" s="10" t="s">
        <v>6</v>
      </c>
      <c r="C11" s="146" t="s">
        <v>288</v>
      </c>
      <c r="D11" s="147"/>
      <c r="E11" s="148"/>
      <c r="F11" s="10" t="s">
        <v>6</v>
      </c>
      <c r="G11" s="10" t="s">
        <v>6</v>
      </c>
      <c r="H11" s="19" t="s">
        <v>467</v>
      </c>
      <c r="I11" s="20" t="s">
        <v>470</v>
      </c>
      <c r="J11" s="21" t="s">
        <v>472</v>
      </c>
      <c r="K11" s="22" t="s">
        <v>473</v>
      </c>
      <c r="L11" s="24" t="s">
        <v>475</v>
      </c>
      <c r="M11" s="30"/>
      <c r="Z11" s="25" t="s">
        <v>477</v>
      </c>
      <c r="AA11" s="25" t="s">
        <v>478</v>
      </c>
      <c r="AB11" s="25" t="s">
        <v>479</v>
      </c>
      <c r="AC11" s="25" t="s">
        <v>480</v>
      </c>
      <c r="AD11" s="25" t="s">
        <v>481</v>
      </c>
      <c r="AE11" s="25" t="s">
        <v>482</v>
      </c>
      <c r="AF11" s="25" t="s">
        <v>483</v>
      </c>
      <c r="AG11" s="25" t="s">
        <v>484</v>
      </c>
      <c r="AH11" s="25" t="s">
        <v>485</v>
      </c>
      <c r="BH11" s="25" t="s">
        <v>543</v>
      </c>
      <c r="BI11" s="25" t="s">
        <v>544</v>
      </c>
      <c r="BJ11" s="25" t="s">
        <v>545</v>
      </c>
    </row>
    <row r="12" spans="1:62" x14ac:dyDescent="0.2">
      <c r="A12" s="71"/>
      <c r="B12" s="72"/>
      <c r="C12" s="149" t="s">
        <v>289</v>
      </c>
      <c r="D12" s="150"/>
      <c r="E12" s="150"/>
      <c r="F12" s="71" t="s">
        <v>6</v>
      </c>
      <c r="G12" s="71" t="s">
        <v>6</v>
      </c>
      <c r="H12" s="71" t="s">
        <v>6</v>
      </c>
      <c r="I12" s="73">
        <f>I13+I15+I17+I21+I24+I28+I30+I34+I36+I39+I44+I47+I49+I53+I55+I58+I66+I68+I72+I76</f>
        <v>0</v>
      </c>
      <c r="J12" s="73">
        <f>J13+J15+J17+J21+J24+J28+J30+J34+J36+J39+J44+J47+J49+J53+J55+J58+J66+J68+J72+J76</f>
        <v>0</v>
      </c>
      <c r="K12" s="73">
        <f>K13+K15+K17+K21+K24+K28+K30+K34+K36+K39+K44+K47+K49+K53+K55+K58+K66+K68+K72+K76</f>
        <v>0</v>
      </c>
      <c r="L12" s="74"/>
    </row>
    <row r="13" spans="1:62" x14ac:dyDescent="0.2">
      <c r="A13" s="3"/>
      <c r="B13" s="11" t="s">
        <v>17</v>
      </c>
      <c r="C13" s="134" t="s">
        <v>290</v>
      </c>
      <c r="D13" s="135"/>
      <c r="E13" s="135"/>
      <c r="F13" s="3" t="s">
        <v>6</v>
      </c>
      <c r="G13" s="3" t="s">
        <v>6</v>
      </c>
      <c r="H13" s="3" t="s">
        <v>6</v>
      </c>
      <c r="I13" s="33">
        <f>SUM(I14:I14)</f>
        <v>0</v>
      </c>
      <c r="J13" s="33">
        <f>SUM(J14:J14)</f>
        <v>0</v>
      </c>
      <c r="K13" s="33">
        <f>SUM(K14:K14)</f>
        <v>0</v>
      </c>
      <c r="L13" s="25"/>
      <c r="AI13" s="25" t="s">
        <v>486</v>
      </c>
      <c r="AS13" s="33">
        <f>SUM(AJ14:AJ14)</f>
        <v>0</v>
      </c>
      <c r="AT13" s="33">
        <f>SUM(AK14:AK14)</f>
        <v>0</v>
      </c>
      <c r="AU13" s="33">
        <f>SUM(AL14:AL14)</f>
        <v>0</v>
      </c>
    </row>
    <row r="14" spans="1:62" x14ac:dyDescent="0.2">
      <c r="A14" s="4" t="s">
        <v>7</v>
      </c>
      <c r="B14" s="4" t="s">
        <v>165</v>
      </c>
      <c r="C14" s="136" t="s">
        <v>291</v>
      </c>
      <c r="D14" s="137"/>
      <c r="E14" s="137"/>
      <c r="F14" s="4" t="s">
        <v>456</v>
      </c>
      <c r="G14" s="65">
        <v>1</v>
      </c>
      <c r="H14" s="15">
        <v>0</v>
      </c>
      <c r="I14" s="15">
        <f>G14*AO14</f>
        <v>0</v>
      </c>
      <c r="J14" s="15">
        <f>G14*AP14</f>
        <v>0</v>
      </c>
      <c r="K14" s="15">
        <f>G14*H14</f>
        <v>0</v>
      </c>
      <c r="L14" s="26" t="s">
        <v>476</v>
      </c>
      <c r="Z14" s="31">
        <f>IF(AQ14="5",BJ14,0)</f>
        <v>0</v>
      </c>
      <c r="AB14" s="31">
        <f>IF(AQ14="1",BH14,0)</f>
        <v>0</v>
      </c>
      <c r="AC14" s="31">
        <f>IF(AQ14="1",BI14,0)</f>
        <v>0</v>
      </c>
      <c r="AD14" s="31">
        <f>IF(AQ14="7",BH14,0)</f>
        <v>0</v>
      </c>
      <c r="AE14" s="31">
        <f>IF(AQ14="7",BI14,0)</f>
        <v>0</v>
      </c>
      <c r="AF14" s="31">
        <f>IF(AQ14="2",BH14,0)</f>
        <v>0</v>
      </c>
      <c r="AG14" s="31">
        <f>IF(AQ14="2",BI14,0)</f>
        <v>0</v>
      </c>
      <c r="AH14" s="31">
        <f>IF(AQ14="0",BJ14,0)</f>
        <v>0</v>
      </c>
      <c r="AI14" s="25" t="s">
        <v>486</v>
      </c>
      <c r="AJ14" s="15">
        <f>IF(AN14=0,K14,0)</f>
        <v>0</v>
      </c>
      <c r="AK14" s="15">
        <f>IF(AN14=15,K14,0)</f>
        <v>0</v>
      </c>
      <c r="AL14" s="15">
        <f>IF(AN14=21,K14,0)</f>
        <v>0</v>
      </c>
      <c r="AN14" s="31">
        <v>21</v>
      </c>
      <c r="AO14" s="31">
        <f>H14*0</f>
        <v>0</v>
      </c>
      <c r="AP14" s="31">
        <f>H14*(1-0)</f>
        <v>0</v>
      </c>
      <c r="AQ14" s="26" t="s">
        <v>7</v>
      </c>
      <c r="AV14" s="31">
        <f>AW14+AX14</f>
        <v>0</v>
      </c>
      <c r="AW14" s="31">
        <f>G14*AO14</f>
        <v>0</v>
      </c>
      <c r="AX14" s="31">
        <f>G14*AP14</f>
        <v>0</v>
      </c>
      <c r="AY14" s="32" t="s">
        <v>489</v>
      </c>
      <c r="AZ14" s="32" t="s">
        <v>517</v>
      </c>
      <c r="BA14" s="25" t="s">
        <v>540</v>
      </c>
      <c r="BC14" s="31">
        <f>AW14+AX14</f>
        <v>0</v>
      </c>
      <c r="BD14" s="31">
        <f>H14/(100-BE14)*100</f>
        <v>0</v>
      </c>
      <c r="BE14" s="31">
        <v>0</v>
      </c>
      <c r="BF14" s="31">
        <f>14</f>
        <v>14</v>
      </c>
      <c r="BH14" s="15">
        <f>G14*AO14</f>
        <v>0</v>
      </c>
      <c r="BI14" s="15">
        <f>G14*AP14</f>
        <v>0</v>
      </c>
      <c r="BJ14" s="15">
        <f>G14*H14</f>
        <v>0</v>
      </c>
    </row>
    <row r="15" spans="1:62" x14ac:dyDescent="0.2">
      <c r="A15" s="3"/>
      <c r="B15" s="11" t="s">
        <v>18</v>
      </c>
      <c r="C15" s="134" t="s">
        <v>292</v>
      </c>
      <c r="D15" s="135"/>
      <c r="E15" s="135"/>
      <c r="F15" s="3" t="s">
        <v>6</v>
      </c>
      <c r="G15" s="3" t="s">
        <v>6</v>
      </c>
      <c r="H15" s="3" t="s">
        <v>6</v>
      </c>
      <c r="I15" s="33">
        <f>SUM(I16:I16)</f>
        <v>0</v>
      </c>
      <c r="J15" s="33">
        <f>SUM(J16:J16)</f>
        <v>0</v>
      </c>
      <c r="K15" s="33">
        <f>SUM(K16:K16)</f>
        <v>0</v>
      </c>
      <c r="L15" s="25"/>
      <c r="AI15" s="25" t="s">
        <v>486</v>
      </c>
      <c r="AS15" s="33">
        <f>SUM(AJ16:AJ16)</f>
        <v>0</v>
      </c>
      <c r="AT15" s="33">
        <f>SUM(AK16:AK16)</f>
        <v>0</v>
      </c>
      <c r="AU15" s="33">
        <f>SUM(AL16:AL16)</f>
        <v>0</v>
      </c>
    </row>
    <row r="16" spans="1:62" x14ac:dyDescent="0.2">
      <c r="A16" s="4" t="s">
        <v>8</v>
      </c>
      <c r="B16" s="4" t="s">
        <v>166</v>
      </c>
      <c r="C16" s="136" t="s">
        <v>293</v>
      </c>
      <c r="D16" s="137"/>
      <c r="E16" s="137"/>
      <c r="F16" s="4" t="s">
        <v>457</v>
      </c>
      <c r="G16" s="65">
        <v>4.2</v>
      </c>
      <c r="H16" s="15">
        <v>0</v>
      </c>
      <c r="I16" s="15">
        <f>G16*AO16</f>
        <v>0</v>
      </c>
      <c r="J16" s="15">
        <f>G16*AP16</f>
        <v>0</v>
      </c>
      <c r="K16" s="15">
        <f>G16*H16</f>
        <v>0</v>
      </c>
      <c r="L16" s="26" t="s">
        <v>476</v>
      </c>
      <c r="Z16" s="31">
        <f>IF(AQ16="5",BJ16,0)</f>
        <v>0</v>
      </c>
      <c r="AB16" s="31">
        <f>IF(AQ16="1",BH16,0)</f>
        <v>0</v>
      </c>
      <c r="AC16" s="31">
        <f>IF(AQ16="1",BI16,0)</f>
        <v>0</v>
      </c>
      <c r="AD16" s="31">
        <f>IF(AQ16="7",BH16,0)</f>
        <v>0</v>
      </c>
      <c r="AE16" s="31">
        <f>IF(AQ16="7",BI16,0)</f>
        <v>0</v>
      </c>
      <c r="AF16" s="31">
        <f>IF(AQ16="2",BH16,0)</f>
        <v>0</v>
      </c>
      <c r="AG16" s="31">
        <f>IF(AQ16="2",BI16,0)</f>
        <v>0</v>
      </c>
      <c r="AH16" s="31">
        <f>IF(AQ16="0",BJ16,0)</f>
        <v>0</v>
      </c>
      <c r="AI16" s="25" t="s">
        <v>486</v>
      </c>
      <c r="AJ16" s="15">
        <f>IF(AN16=0,K16,0)</f>
        <v>0</v>
      </c>
      <c r="AK16" s="15">
        <f>IF(AN16=15,K16,0)</f>
        <v>0</v>
      </c>
      <c r="AL16" s="15">
        <f>IF(AN16=21,K16,0)</f>
        <v>0</v>
      </c>
      <c r="AN16" s="31">
        <v>21</v>
      </c>
      <c r="AO16" s="31">
        <f>H16*0</f>
        <v>0</v>
      </c>
      <c r="AP16" s="31">
        <f>H16*(1-0)</f>
        <v>0</v>
      </c>
      <c r="AQ16" s="26" t="s">
        <v>7</v>
      </c>
      <c r="AV16" s="31">
        <f>AW16+AX16</f>
        <v>0</v>
      </c>
      <c r="AW16" s="31">
        <f>G16*AO16</f>
        <v>0</v>
      </c>
      <c r="AX16" s="31">
        <f>G16*AP16</f>
        <v>0</v>
      </c>
      <c r="AY16" s="32" t="s">
        <v>490</v>
      </c>
      <c r="AZ16" s="32" t="s">
        <v>517</v>
      </c>
      <c r="BA16" s="25" t="s">
        <v>540</v>
      </c>
      <c r="BC16" s="31">
        <f>AW16+AX16</f>
        <v>0</v>
      </c>
      <c r="BD16" s="31">
        <f>H16/(100-BE16)*100</f>
        <v>0</v>
      </c>
      <c r="BE16" s="31">
        <v>0</v>
      </c>
      <c r="BF16" s="31">
        <f>16</f>
        <v>16</v>
      </c>
      <c r="BH16" s="15">
        <f>G16*AO16</f>
        <v>0</v>
      </c>
      <c r="BI16" s="15">
        <f>G16*AP16</f>
        <v>0</v>
      </c>
      <c r="BJ16" s="15">
        <f>G16*H16</f>
        <v>0</v>
      </c>
    </row>
    <row r="17" spans="1:62" x14ac:dyDescent="0.2">
      <c r="A17" s="3"/>
      <c r="B17" s="11" t="s">
        <v>19</v>
      </c>
      <c r="C17" s="134" t="s">
        <v>294</v>
      </c>
      <c r="D17" s="135"/>
      <c r="E17" s="135"/>
      <c r="F17" s="3" t="s">
        <v>6</v>
      </c>
      <c r="G17" s="3" t="s">
        <v>6</v>
      </c>
      <c r="H17" s="3" t="s">
        <v>6</v>
      </c>
      <c r="I17" s="33">
        <f>SUM(I18:I20)</f>
        <v>0</v>
      </c>
      <c r="J17" s="33">
        <f>SUM(J18:J20)</f>
        <v>0</v>
      </c>
      <c r="K17" s="33">
        <f>SUM(K18:K20)</f>
        <v>0</v>
      </c>
      <c r="L17" s="25"/>
      <c r="AI17" s="25" t="s">
        <v>486</v>
      </c>
      <c r="AS17" s="33">
        <f>SUM(AJ18:AJ20)</f>
        <v>0</v>
      </c>
      <c r="AT17" s="33">
        <f>SUM(AK18:AK20)</f>
        <v>0</v>
      </c>
      <c r="AU17" s="33">
        <f>SUM(AL18:AL20)</f>
        <v>0</v>
      </c>
    </row>
    <row r="18" spans="1:62" x14ac:dyDescent="0.2">
      <c r="A18" s="4" t="s">
        <v>9</v>
      </c>
      <c r="B18" s="4" t="s">
        <v>167</v>
      </c>
      <c r="C18" s="136" t="s">
        <v>295</v>
      </c>
      <c r="D18" s="137"/>
      <c r="E18" s="137"/>
      <c r="F18" s="4" t="s">
        <v>457</v>
      </c>
      <c r="G18" s="65">
        <v>4.5359999999999996</v>
      </c>
      <c r="H18" s="15">
        <v>0</v>
      </c>
      <c r="I18" s="15">
        <f>G18*AO18</f>
        <v>0</v>
      </c>
      <c r="J18" s="15">
        <f>G18*AP18</f>
        <v>0</v>
      </c>
      <c r="K18" s="15">
        <f>G18*H18</f>
        <v>0</v>
      </c>
      <c r="L18" s="26" t="s">
        <v>476</v>
      </c>
      <c r="Z18" s="31">
        <f>IF(AQ18="5",BJ18,0)</f>
        <v>0</v>
      </c>
      <c r="AB18" s="31">
        <f>IF(AQ18="1",BH18,0)</f>
        <v>0</v>
      </c>
      <c r="AC18" s="31">
        <f>IF(AQ18="1",BI18,0)</f>
        <v>0</v>
      </c>
      <c r="AD18" s="31">
        <f>IF(AQ18="7",BH18,0)</f>
        <v>0</v>
      </c>
      <c r="AE18" s="31">
        <f>IF(AQ18="7",BI18,0)</f>
        <v>0</v>
      </c>
      <c r="AF18" s="31">
        <f>IF(AQ18="2",BH18,0)</f>
        <v>0</v>
      </c>
      <c r="AG18" s="31">
        <f>IF(AQ18="2",BI18,0)</f>
        <v>0</v>
      </c>
      <c r="AH18" s="31">
        <f>IF(AQ18="0",BJ18,0)</f>
        <v>0</v>
      </c>
      <c r="AI18" s="25" t="s">
        <v>486</v>
      </c>
      <c r="AJ18" s="15">
        <f>IF(AN18=0,K18,0)</f>
        <v>0</v>
      </c>
      <c r="AK18" s="15">
        <f>IF(AN18=15,K18,0)</f>
        <v>0</v>
      </c>
      <c r="AL18" s="15">
        <f>IF(AN18=21,K18,0)</f>
        <v>0</v>
      </c>
      <c r="AN18" s="31">
        <v>21</v>
      </c>
      <c r="AO18" s="31">
        <f>H18*0</f>
        <v>0</v>
      </c>
      <c r="AP18" s="31">
        <f>H18*(1-0)</f>
        <v>0</v>
      </c>
      <c r="AQ18" s="26" t="s">
        <v>7</v>
      </c>
      <c r="AV18" s="31">
        <f>AW18+AX18</f>
        <v>0</v>
      </c>
      <c r="AW18" s="31">
        <f>G18*AO18</f>
        <v>0</v>
      </c>
      <c r="AX18" s="31">
        <f>G18*AP18</f>
        <v>0</v>
      </c>
      <c r="AY18" s="32" t="s">
        <v>491</v>
      </c>
      <c r="AZ18" s="32" t="s">
        <v>517</v>
      </c>
      <c r="BA18" s="25" t="s">
        <v>540</v>
      </c>
      <c r="BC18" s="31">
        <f>AW18+AX18</f>
        <v>0</v>
      </c>
      <c r="BD18" s="31">
        <f>H18/(100-BE18)*100</f>
        <v>0</v>
      </c>
      <c r="BE18" s="31">
        <v>0</v>
      </c>
      <c r="BF18" s="31">
        <f>18</f>
        <v>18</v>
      </c>
      <c r="BH18" s="15">
        <f>G18*AO18</f>
        <v>0</v>
      </c>
      <c r="BI18" s="15">
        <f>G18*AP18</f>
        <v>0</v>
      </c>
      <c r="BJ18" s="15">
        <f>G18*H18</f>
        <v>0</v>
      </c>
    </row>
    <row r="19" spans="1:62" x14ac:dyDescent="0.2">
      <c r="B19" s="12" t="s">
        <v>168</v>
      </c>
      <c r="C19" s="138" t="s">
        <v>296</v>
      </c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62" x14ac:dyDescent="0.2">
      <c r="A20" s="4" t="s">
        <v>10</v>
      </c>
      <c r="B20" s="4" t="s">
        <v>169</v>
      </c>
      <c r="C20" s="136" t="s">
        <v>297</v>
      </c>
      <c r="D20" s="137"/>
      <c r="E20" s="137"/>
      <c r="F20" s="4" t="s">
        <v>457</v>
      </c>
      <c r="G20" s="65">
        <v>4.5359999999999996</v>
      </c>
      <c r="H20" s="15">
        <v>0</v>
      </c>
      <c r="I20" s="15">
        <f>G20*AO20</f>
        <v>0</v>
      </c>
      <c r="J20" s="15">
        <f>G20*AP20</f>
        <v>0</v>
      </c>
      <c r="K20" s="15">
        <f>G20*H20</f>
        <v>0</v>
      </c>
      <c r="L20" s="26" t="s">
        <v>476</v>
      </c>
      <c r="Z20" s="31">
        <f>IF(AQ20="5",BJ20,0)</f>
        <v>0</v>
      </c>
      <c r="AB20" s="31">
        <f>IF(AQ20="1",BH20,0)</f>
        <v>0</v>
      </c>
      <c r="AC20" s="31">
        <f>IF(AQ20="1",BI20,0)</f>
        <v>0</v>
      </c>
      <c r="AD20" s="31">
        <f>IF(AQ20="7",BH20,0)</f>
        <v>0</v>
      </c>
      <c r="AE20" s="31">
        <f>IF(AQ20="7",BI20,0)</f>
        <v>0</v>
      </c>
      <c r="AF20" s="31">
        <f>IF(AQ20="2",BH20,0)</f>
        <v>0</v>
      </c>
      <c r="AG20" s="31">
        <f>IF(AQ20="2",BI20,0)</f>
        <v>0</v>
      </c>
      <c r="AH20" s="31">
        <f>IF(AQ20="0",BJ20,0)</f>
        <v>0</v>
      </c>
      <c r="AI20" s="25" t="s">
        <v>486</v>
      </c>
      <c r="AJ20" s="15">
        <f>IF(AN20=0,K20,0)</f>
        <v>0</v>
      </c>
      <c r="AK20" s="15">
        <f>IF(AN20=15,K20,0)</f>
        <v>0</v>
      </c>
      <c r="AL20" s="15">
        <f>IF(AN20=21,K20,0)</f>
        <v>0</v>
      </c>
      <c r="AN20" s="31">
        <v>21</v>
      </c>
      <c r="AO20" s="31">
        <f>H20*0</f>
        <v>0</v>
      </c>
      <c r="AP20" s="31">
        <f>H20*(1-0)</f>
        <v>0</v>
      </c>
      <c r="AQ20" s="26" t="s">
        <v>7</v>
      </c>
      <c r="AV20" s="31">
        <f>AW20+AX20</f>
        <v>0</v>
      </c>
      <c r="AW20" s="31">
        <f>G20*AO20</f>
        <v>0</v>
      </c>
      <c r="AX20" s="31">
        <f>G20*AP20</f>
        <v>0</v>
      </c>
      <c r="AY20" s="32" t="s">
        <v>491</v>
      </c>
      <c r="AZ20" s="32" t="s">
        <v>517</v>
      </c>
      <c r="BA20" s="25" t="s">
        <v>540</v>
      </c>
      <c r="BC20" s="31">
        <f>AW20+AX20</f>
        <v>0</v>
      </c>
      <c r="BD20" s="31">
        <f>H20/(100-BE20)*100</f>
        <v>0</v>
      </c>
      <c r="BE20" s="31">
        <v>0</v>
      </c>
      <c r="BF20" s="31">
        <f>20</f>
        <v>20</v>
      </c>
      <c r="BH20" s="15">
        <f>G20*AO20</f>
        <v>0</v>
      </c>
      <c r="BI20" s="15">
        <f>G20*AP20</f>
        <v>0</v>
      </c>
      <c r="BJ20" s="15">
        <f>G20*H20</f>
        <v>0</v>
      </c>
    </row>
    <row r="21" spans="1:62" x14ac:dyDescent="0.2">
      <c r="A21" s="3"/>
      <c r="B21" s="11" t="s">
        <v>22</v>
      </c>
      <c r="C21" s="134" t="s">
        <v>298</v>
      </c>
      <c r="D21" s="135"/>
      <c r="E21" s="135"/>
      <c r="F21" s="3" t="s">
        <v>6</v>
      </c>
      <c r="G21" s="3" t="s">
        <v>6</v>
      </c>
      <c r="H21" s="3" t="s">
        <v>6</v>
      </c>
      <c r="I21" s="33">
        <f>SUM(I22:I23)</f>
        <v>0</v>
      </c>
      <c r="J21" s="33">
        <f>SUM(J22:J23)</f>
        <v>0</v>
      </c>
      <c r="K21" s="33">
        <f>SUM(K22:K23)</f>
        <v>0</v>
      </c>
      <c r="L21" s="25"/>
      <c r="AI21" s="25" t="s">
        <v>486</v>
      </c>
      <c r="AS21" s="33">
        <f>SUM(AJ22:AJ23)</f>
        <v>0</v>
      </c>
      <c r="AT21" s="33">
        <f>SUM(AK22:AK23)</f>
        <v>0</v>
      </c>
      <c r="AU21" s="33">
        <f>SUM(AL22:AL23)</f>
        <v>0</v>
      </c>
    </row>
    <row r="22" spans="1:62" x14ac:dyDescent="0.2">
      <c r="A22" s="4" t="s">
        <v>11</v>
      </c>
      <c r="B22" s="4" t="s">
        <v>170</v>
      </c>
      <c r="C22" s="136" t="s">
        <v>299</v>
      </c>
      <c r="D22" s="137"/>
      <c r="E22" s="137"/>
      <c r="F22" s="4" t="s">
        <v>457</v>
      </c>
      <c r="G22" s="65">
        <v>7.7359999999999998</v>
      </c>
      <c r="H22" s="15">
        <v>0</v>
      </c>
      <c r="I22" s="15">
        <f>G22*AO22</f>
        <v>0</v>
      </c>
      <c r="J22" s="15">
        <f>G22*AP22</f>
        <v>0</v>
      </c>
      <c r="K22" s="15">
        <f>G22*H22</f>
        <v>0</v>
      </c>
      <c r="L22" s="26" t="s">
        <v>476</v>
      </c>
      <c r="Z22" s="31">
        <f>IF(AQ22="5",BJ22,0)</f>
        <v>0</v>
      </c>
      <c r="AB22" s="31">
        <f>IF(AQ22="1",BH22,0)</f>
        <v>0</v>
      </c>
      <c r="AC22" s="31">
        <f>IF(AQ22="1",BI22,0)</f>
        <v>0</v>
      </c>
      <c r="AD22" s="31">
        <f>IF(AQ22="7",BH22,0)</f>
        <v>0</v>
      </c>
      <c r="AE22" s="31">
        <f>IF(AQ22="7",BI22,0)</f>
        <v>0</v>
      </c>
      <c r="AF22" s="31">
        <f>IF(AQ22="2",BH22,0)</f>
        <v>0</v>
      </c>
      <c r="AG22" s="31">
        <f>IF(AQ22="2",BI22,0)</f>
        <v>0</v>
      </c>
      <c r="AH22" s="31">
        <f>IF(AQ22="0",BJ22,0)</f>
        <v>0</v>
      </c>
      <c r="AI22" s="25" t="s">
        <v>486</v>
      </c>
      <c r="AJ22" s="15">
        <f>IF(AN22=0,K22,0)</f>
        <v>0</v>
      </c>
      <c r="AK22" s="15">
        <f>IF(AN22=15,K22,0)</f>
        <v>0</v>
      </c>
      <c r="AL22" s="15">
        <f>IF(AN22=21,K22,0)</f>
        <v>0</v>
      </c>
      <c r="AN22" s="31">
        <v>21</v>
      </c>
      <c r="AO22" s="31">
        <f>H22*0</f>
        <v>0</v>
      </c>
      <c r="AP22" s="31">
        <f>H22*(1-0)</f>
        <v>0</v>
      </c>
      <c r="AQ22" s="26" t="s">
        <v>7</v>
      </c>
      <c r="AV22" s="31">
        <f>AW22+AX22</f>
        <v>0</v>
      </c>
      <c r="AW22" s="31">
        <f>G22*AO22</f>
        <v>0</v>
      </c>
      <c r="AX22" s="31">
        <f>G22*AP22</f>
        <v>0</v>
      </c>
      <c r="AY22" s="32" t="s">
        <v>492</v>
      </c>
      <c r="AZ22" s="32" t="s">
        <v>517</v>
      </c>
      <c r="BA22" s="25" t="s">
        <v>540</v>
      </c>
      <c r="BC22" s="31">
        <f>AW22+AX22</f>
        <v>0</v>
      </c>
      <c r="BD22" s="31">
        <f>H22/(100-BE22)*100</f>
        <v>0</v>
      </c>
      <c r="BE22" s="31">
        <v>0</v>
      </c>
      <c r="BF22" s="31">
        <f>22</f>
        <v>22</v>
      </c>
      <c r="BH22" s="15">
        <f>G22*AO22</f>
        <v>0</v>
      </c>
      <c r="BI22" s="15">
        <f>G22*AP22</f>
        <v>0</v>
      </c>
      <c r="BJ22" s="15">
        <f>G22*H22</f>
        <v>0</v>
      </c>
    </row>
    <row r="23" spans="1:62" x14ac:dyDescent="0.2">
      <c r="A23" s="4" t="s">
        <v>12</v>
      </c>
      <c r="B23" s="4" t="s">
        <v>171</v>
      </c>
      <c r="C23" s="136" t="s">
        <v>300</v>
      </c>
      <c r="D23" s="137"/>
      <c r="E23" s="137"/>
      <c r="F23" s="4" t="s">
        <v>457</v>
      </c>
      <c r="G23" s="65">
        <v>7.7359999999999998</v>
      </c>
      <c r="H23" s="15">
        <v>0</v>
      </c>
      <c r="I23" s="15">
        <f>G23*AO23</f>
        <v>0</v>
      </c>
      <c r="J23" s="15">
        <f>G23*AP23</f>
        <v>0</v>
      </c>
      <c r="K23" s="15">
        <f>G23*H23</f>
        <v>0</v>
      </c>
      <c r="L23" s="26" t="s">
        <v>476</v>
      </c>
      <c r="Z23" s="31">
        <f>IF(AQ23="5",BJ23,0)</f>
        <v>0</v>
      </c>
      <c r="AB23" s="31">
        <f>IF(AQ23="1",BH23,0)</f>
        <v>0</v>
      </c>
      <c r="AC23" s="31">
        <f>IF(AQ23="1",BI23,0)</f>
        <v>0</v>
      </c>
      <c r="AD23" s="31">
        <f>IF(AQ23="7",BH23,0)</f>
        <v>0</v>
      </c>
      <c r="AE23" s="31">
        <f>IF(AQ23="7",BI23,0)</f>
        <v>0</v>
      </c>
      <c r="AF23" s="31">
        <f>IF(AQ23="2",BH23,0)</f>
        <v>0</v>
      </c>
      <c r="AG23" s="31">
        <f>IF(AQ23="2",BI23,0)</f>
        <v>0</v>
      </c>
      <c r="AH23" s="31">
        <f>IF(AQ23="0",BJ23,0)</f>
        <v>0</v>
      </c>
      <c r="AI23" s="25" t="s">
        <v>486</v>
      </c>
      <c r="AJ23" s="15">
        <f>IF(AN23=0,K23,0)</f>
        <v>0</v>
      </c>
      <c r="AK23" s="15">
        <f>IF(AN23=15,K23,0)</f>
        <v>0</v>
      </c>
      <c r="AL23" s="15">
        <f>IF(AN23=21,K23,0)</f>
        <v>0</v>
      </c>
      <c r="AN23" s="31">
        <v>21</v>
      </c>
      <c r="AO23" s="31">
        <f>H23*0</f>
        <v>0</v>
      </c>
      <c r="AP23" s="31">
        <f>H23*(1-0)</f>
        <v>0</v>
      </c>
      <c r="AQ23" s="26" t="s">
        <v>7</v>
      </c>
      <c r="AV23" s="31">
        <f>AW23+AX23</f>
        <v>0</v>
      </c>
      <c r="AW23" s="31">
        <f>G23*AO23</f>
        <v>0</v>
      </c>
      <c r="AX23" s="31">
        <f>G23*AP23</f>
        <v>0</v>
      </c>
      <c r="AY23" s="32" t="s">
        <v>492</v>
      </c>
      <c r="AZ23" s="32" t="s">
        <v>517</v>
      </c>
      <c r="BA23" s="25" t="s">
        <v>540</v>
      </c>
      <c r="BC23" s="31">
        <f>AW23+AX23</f>
        <v>0</v>
      </c>
      <c r="BD23" s="31">
        <f>H23/(100-BE23)*100</f>
        <v>0</v>
      </c>
      <c r="BE23" s="31">
        <v>0</v>
      </c>
      <c r="BF23" s="31">
        <f>23</f>
        <v>23</v>
      </c>
      <c r="BH23" s="15">
        <f>G23*AO23</f>
        <v>0</v>
      </c>
      <c r="BI23" s="15">
        <f>G23*AP23</f>
        <v>0</v>
      </c>
      <c r="BJ23" s="15">
        <f>G23*H23</f>
        <v>0</v>
      </c>
    </row>
    <row r="24" spans="1:62" x14ac:dyDescent="0.2">
      <c r="A24" s="3"/>
      <c r="B24" s="11" t="s">
        <v>23</v>
      </c>
      <c r="C24" s="134" t="s">
        <v>301</v>
      </c>
      <c r="D24" s="135"/>
      <c r="E24" s="135"/>
      <c r="F24" s="3" t="s">
        <v>6</v>
      </c>
      <c r="G24" s="3" t="s">
        <v>6</v>
      </c>
      <c r="H24" s="3" t="s">
        <v>6</v>
      </c>
      <c r="I24" s="33">
        <f>SUM(I25:I27)</f>
        <v>0</v>
      </c>
      <c r="J24" s="33">
        <f>SUM(J25:J27)</f>
        <v>0</v>
      </c>
      <c r="K24" s="33">
        <f>SUM(K25:K27)</f>
        <v>0</v>
      </c>
      <c r="L24" s="25"/>
      <c r="AI24" s="25" t="s">
        <v>486</v>
      </c>
      <c r="AS24" s="33">
        <f>SUM(AJ25:AJ27)</f>
        <v>0</v>
      </c>
      <c r="AT24" s="33">
        <f>SUM(AK25:AK27)</f>
        <v>0</v>
      </c>
      <c r="AU24" s="33">
        <f>SUM(AL25:AL27)</f>
        <v>0</v>
      </c>
    </row>
    <row r="25" spans="1:62" x14ac:dyDescent="0.2">
      <c r="A25" s="4" t="s">
        <v>13</v>
      </c>
      <c r="B25" s="4" t="s">
        <v>172</v>
      </c>
      <c r="C25" s="136" t="s">
        <v>302</v>
      </c>
      <c r="D25" s="137"/>
      <c r="E25" s="137"/>
      <c r="F25" s="4" t="s">
        <v>457</v>
      </c>
      <c r="G25" s="65">
        <v>7.7359999999999998</v>
      </c>
      <c r="H25" s="15">
        <v>0</v>
      </c>
      <c r="I25" s="15">
        <f>G25*AO25</f>
        <v>0</v>
      </c>
      <c r="J25" s="15">
        <f>G25*AP25</f>
        <v>0</v>
      </c>
      <c r="K25" s="15">
        <f>G25*H25</f>
        <v>0</v>
      </c>
      <c r="L25" s="26" t="s">
        <v>476</v>
      </c>
      <c r="Z25" s="31">
        <f>IF(AQ25="5",BJ25,0)</f>
        <v>0</v>
      </c>
      <c r="AB25" s="31">
        <f>IF(AQ25="1",BH25,0)</f>
        <v>0</v>
      </c>
      <c r="AC25" s="31">
        <f>IF(AQ25="1",BI25,0)</f>
        <v>0</v>
      </c>
      <c r="AD25" s="31">
        <f>IF(AQ25="7",BH25,0)</f>
        <v>0</v>
      </c>
      <c r="AE25" s="31">
        <f>IF(AQ25="7",BI25,0)</f>
        <v>0</v>
      </c>
      <c r="AF25" s="31">
        <f>IF(AQ25="2",BH25,0)</f>
        <v>0</v>
      </c>
      <c r="AG25" s="31">
        <f>IF(AQ25="2",BI25,0)</f>
        <v>0</v>
      </c>
      <c r="AH25" s="31">
        <f>IF(AQ25="0",BJ25,0)</f>
        <v>0</v>
      </c>
      <c r="AI25" s="25" t="s">
        <v>486</v>
      </c>
      <c r="AJ25" s="15">
        <f>IF(AN25=0,K25,0)</f>
        <v>0</v>
      </c>
      <c r="AK25" s="15">
        <f>IF(AN25=15,K25,0)</f>
        <v>0</v>
      </c>
      <c r="AL25" s="15">
        <f>IF(AN25=21,K25,0)</f>
        <v>0</v>
      </c>
      <c r="AN25" s="31">
        <v>21</v>
      </c>
      <c r="AO25" s="31">
        <f>H25*0</f>
        <v>0</v>
      </c>
      <c r="AP25" s="31">
        <f>H25*(1-0)</f>
        <v>0</v>
      </c>
      <c r="AQ25" s="26" t="s">
        <v>7</v>
      </c>
      <c r="AV25" s="31">
        <f>AW25+AX25</f>
        <v>0</v>
      </c>
      <c r="AW25" s="31">
        <f>G25*AO25</f>
        <v>0</v>
      </c>
      <c r="AX25" s="31">
        <f>G25*AP25</f>
        <v>0</v>
      </c>
      <c r="AY25" s="32" t="s">
        <v>493</v>
      </c>
      <c r="AZ25" s="32" t="s">
        <v>517</v>
      </c>
      <c r="BA25" s="25" t="s">
        <v>540</v>
      </c>
      <c r="BC25" s="31">
        <f>AW25+AX25</f>
        <v>0</v>
      </c>
      <c r="BD25" s="31">
        <f>H25/(100-BE25)*100</f>
        <v>0</v>
      </c>
      <c r="BE25" s="31">
        <v>0</v>
      </c>
      <c r="BF25" s="31">
        <f>25</f>
        <v>25</v>
      </c>
      <c r="BH25" s="15">
        <f>G25*AO25</f>
        <v>0</v>
      </c>
      <c r="BI25" s="15">
        <f>G25*AP25</f>
        <v>0</v>
      </c>
      <c r="BJ25" s="15">
        <f>G25*H25</f>
        <v>0</v>
      </c>
    </row>
    <row r="26" spans="1:62" x14ac:dyDescent="0.2">
      <c r="A26" s="4" t="s">
        <v>14</v>
      </c>
      <c r="B26" s="4" t="s">
        <v>173</v>
      </c>
      <c r="C26" s="136" t="s">
        <v>303</v>
      </c>
      <c r="D26" s="137"/>
      <c r="E26" s="137"/>
      <c r="F26" s="4" t="s">
        <v>458</v>
      </c>
      <c r="G26" s="65">
        <v>5.6</v>
      </c>
      <c r="H26" s="15">
        <v>0</v>
      </c>
      <c r="I26" s="15">
        <f>G26*AO26</f>
        <v>0</v>
      </c>
      <c r="J26" s="15">
        <f>G26*AP26</f>
        <v>0</v>
      </c>
      <c r="K26" s="15">
        <f>G26*H26</f>
        <v>0</v>
      </c>
      <c r="L26" s="26" t="s">
        <v>476</v>
      </c>
      <c r="Z26" s="31">
        <f>IF(AQ26="5",BJ26,0)</f>
        <v>0</v>
      </c>
      <c r="AB26" s="31">
        <f>IF(AQ26="1",BH26,0)</f>
        <v>0</v>
      </c>
      <c r="AC26" s="31">
        <f>IF(AQ26="1",BI26,0)</f>
        <v>0</v>
      </c>
      <c r="AD26" s="31">
        <f>IF(AQ26="7",BH26,0)</f>
        <v>0</v>
      </c>
      <c r="AE26" s="31">
        <f>IF(AQ26="7",BI26,0)</f>
        <v>0</v>
      </c>
      <c r="AF26" s="31">
        <f>IF(AQ26="2",BH26,0)</f>
        <v>0</v>
      </c>
      <c r="AG26" s="31">
        <f>IF(AQ26="2",BI26,0)</f>
        <v>0</v>
      </c>
      <c r="AH26" s="31">
        <f>IF(AQ26="0",BJ26,0)</f>
        <v>0</v>
      </c>
      <c r="AI26" s="25" t="s">
        <v>486</v>
      </c>
      <c r="AJ26" s="15">
        <f>IF(AN26=0,K26,0)</f>
        <v>0</v>
      </c>
      <c r="AK26" s="15">
        <f>IF(AN26=15,K26,0)</f>
        <v>0</v>
      </c>
      <c r="AL26" s="15">
        <f>IF(AN26=21,K26,0)</f>
        <v>0</v>
      </c>
      <c r="AN26" s="31">
        <v>21</v>
      </c>
      <c r="AO26" s="31">
        <f>H26*0</f>
        <v>0</v>
      </c>
      <c r="AP26" s="31">
        <f>H26*(1-0)</f>
        <v>0</v>
      </c>
      <c r="AQ26" s="26" t="s">
        <v>7</v>
      </c>
      <c r="AV26" s="31">
        <f>AW26+AX26</f>
        <v>0</v>
      </c>
      <c r="AW26" s="31">
        <f>G26*AO26</f>
        <v>0</v>
      </c>
      <c r="AX26" s="31">
        <f>G26*AP26</f>
        <v>0</v>
      </c>
      <c r="AY26" s="32" t="s">
        <v>493</v>
      </c>
      <c r="AZ26" s="32" t="s">
        <v>517</v>
      </c>
      <c r="BA26" s="25" t="s">
        <v>540</v>
      </c>
      <c r="BC26" s="31">
        <f>AW26+AX26</f>
        <v>0</v>
      </c>
      <c r="BD26" s="31">
        <f>H26/(100-BE26)*100</f>
        <v>0</v>
      </c>
      <c r="BE26" s="31">
        <v>0</v>
      </c>
      <c r="BF26" s="31">
        <f>26</f>
        <v>26</v>
      </c>
      <c r="BH26" s="15">
        <f>G26*AO26</f>
        <v>0</v>
      </c>
      <c r="BI26" s="15">
        <f>G26*AP26</f>
        <v>0</v>
      </c>
      <c r="BJ26" s="15">
        <f>G26*H26</f>
        <v>0</v>
      </c>
    </row>
    <row r="27" spans="1:62" x14ac:dyDescent="0.2">
      <c r="A27" s="4" t="s">
        <v>15</v>
      </c>
      <c r="B27" s="4" t="s">
        <v>174</v>
      </c>
      <c r="C27" s="136" t="s">
        <v>304</v>
      </c>
      <c r="D27" s="137"/>
      <c r="E27" s="137"/>
      <c r="F27" s="4" t="s">
        <v>458</v>
      </c>
      <c r="G27" s="65">
        <v>7.9379999999999997</v>
      </c>
      <c r="H27" s="15">
        <v>0</v>
      </c>
      <c r="I27" s="15">
        <f>G27*AO27</f>
        <v>0</v>
      </c>
      <c r="J27" s="15">
        <f>G27*AP27</f>
        <v>0</v>
      </c>
      <c r="K27" s="15">
        <f>G27*H27</f>
        <v>0</v>
      </c>
      <c r="L27" s="26" t="s">
        <v>476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25" t="s">
        <v>486</v>
      </c>
      <c r="AJ27" s="15">
        <f>IF(AN27=0,K27,0)</f>
        <v>0</v>
      </c>
      <c r="AK27" s="15">
        <f>IF(AN27=15,K27,0)</f>
        <v>0</v>
      </c>
      <c r="AL27" s="15">
        <f>IF(AN27=21,K27,0)</f>
        <v>0</v>
      </c>
      <c r="AN27" s="31">
        <v>21</v>
      </c>
      <c r="AO27" s="31">
        <f>H27*0</f>
        <v>0</v>
      </c>
      <c r="AP27" s="31">
        <f>H27*(1-0)</f>
        <v>0</v>
      </c>
      <c r="AQ27" s="26" t="s">
        <v>7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493</v>
      </c>
      <c r="AZ27" s="32" t="s">
        <v>517</v>
      </c>
      <c r="BA27" s="25" t="s">
        <v>540</v>
      </c>
      <c r="BC27" s="31">
        <f>AW27+AX27</f>
        <v>0</v>
      </c>
      <c r="BD27" s="31">
        <f>H27/(100-BE27)*100</f>
        <v>0</v>
      </c>
      <c r="BE27" s="31">
        <v>0</v>
      </c>
      <c r="BF27" s="31">
        <f>27</f>
        <v>27</v>
      </c>
      <c r="BH27" s="15">
        <f>G27*AO27</f>
        <v>0</v>
      </c>
      <c r="BI27" s="15">
        <f>G27*AP27</f>
        <v>0</v>
      </c>
      <c r="BJ27" s="15">
        <f>G27*H27</f>
        <v>0</v>
      </c>
    </row>
    <row r="28" spans="1:62" x14ac:dyDescent="0.2">
      <c r="A28" s="3"/>
      <c r="B28" s="11" t="s">
        <v>24</v>
      </c>
      <c r="C28" s="134" t="s">
        <v>305</v>
      </c>
      <c r="D28" s="135"/>
      <c r="E28" s="135"/>
      <c r="F28" s="3" t="s">
        <v>6</v>
      </c>
      <c r="G28" s="3" t="s">
        <v>6</v>
      </c>
      <c r="H28" s="3" t="s">
        <v>6</v>
      </c>
      <c r="I28" s="33">
        <f>SUM(I29:I29)</f>
        <v>0</v>
      </c>
      <c r="J28" s="33">
        <f>SUM(J29:J29)</f>
        <v>0</v>
      </c>
      <c r="K28" s="33">
        <f>SUM(K29:K29)</f>
        <v>0</v>
      </c>
      <c r="L28" s="25"/>
      <c r="AI28" s="25" t="s">
        <v>486</v>
      </c>
      <c r="AS28" s="33">
        <f>SUM(AJ29:AJ29)</f>
        <v>0</v>
      </c>
      <c r="AT28" s="33">
        <f>SUM(AK29:AK29)</f>
        <v>0</v>
      </c>
      <c r="AU28" s="33">
        <f>SUM(AL29:AL29)</f>
        <v>0</v>
      </c>
    </row>
    <row r="29" spans="1:62" x14ac:dyDescent="0.2">
      <c r="A29" s="4" t="s">
        <v>16</v>
      </c>
      <c r="B29" s="4" t="s">
        <v>175</v>
      </c>
      <c r="C29" s="136" t="s">
        <v>306</v>
      </c>
      <c r="D29" s="137"/>
      <c r="E29" s="137"/>
      <c r="F29" s="4" t="s">
        <v>459</v>
      </c>
      <c r="G29" s="65">
        <v>5</v>
      </c>
      <c r="H29" s="15">
        <v>0</v>
      </c>
      <c r="I29" s="15">
        <f>G29*AO29</f>
        <v>0</v>
      </c>
      <c r="J29" s="15">
        <f>G29*AP29</f>
        <v>0</v>
      </c>
      <c r="K29" s="15">
        <f>G29*H29</f>
        <v>0</v>
      </c>
      <c r="L29" s="26" t="s">
        <v>476</v>
      </c>
      <c r="Z29" s="31">
        <f>IF(AQ29="5",BJ29,0)</f>
        <v>0</v>
      </c>
      <c r="AB29" s="31">
        <f>IF(AQ29="1",BH29,0)</f>
        <v>0</v>
      </c>
      <c r="AC29" s="31">
        <f>IF(AQ29="1",BI29,0)</f>
        <v>0</v>
      </c>
      <c r="AD29" s="31">
        <f>IF(AQ29="7",BH29,0)</f>
        <v>0</v>
      </c>
      <c r="AE29" s="31">
        <f>IF(AQ29="7",BI29,0)</f>
        <v>0</v>
      </c>
      <c r="AF29" s="31">
        <f>IF(AQ29="2",BH29,0)</f>
        <v>0</v>
      </c>
      <c r="AG29" s="31">
        <f>IF(AQ29="2",BI29,0)</f>
        <v>0</v>
      </c>
      <c r="AH29" s="31">
        <f>IF(AQ29="0",BJ29,0)</f>
        <v>0</v>
      </c>
      <c r="AI29" s="25" t="s">
        <v>486</v>
      </c>
      <c r="AJ29" s="15">
        <f>IF(AN29=0,K29,0)</f>
        <v>0</v>
      </c>
      <c r="AK29" s="15">
        <f>IF(AN29=15,K29,0)</f>
        <v>0</v>
      </c>
      <c r="AL29" s="15">
        <f>IF(AN29=21,K29,0)</f>
        <v>0</v>
      </c>
      <c r="AN29" s="31">
        <v>21</v>
      </c>
      <c r="AO29" s="31">
        <f>H29*0.15</f>
        <v>0</v>
      </c>
      <c r="AP29" s="31">
        <f>H29*(1-0.15)</f>
        <v>0</v>
      </c>
      <c r="AQ29" s="26" t="s">
        <v>7</v>
      </c>
      <c r="AV29" s="31">
        <f>AW29+AX29</f>
        <v>0</v>
      </c>
      <c r="AW29" s="31">
        <f>G29*AO29</f>
        <v>0</v>
      </c>
      <c r="AX29" s="31">
        <f>G29*AP29</f>
        <v>0</v>
      </c>
      <c r="AY29" s="32" t="s">
        <v>494</v>
      </c>
      <c r="AZ29" s="32" t="s">
        <v>517</v>
      </c>
      <c r="BA29" s="25" t="s">
        <v>540</v>
      </c>
      <c r="BC29" s="31">
        <f>AW29+AX29</f>
        <v>0</v>
      </c>
      <c r="BD29" s="31">
        <f>H29/(100-BE29)*100</f>
        <v>0</v>
      </c>
      <c r="BE29" s="31">
        <v>0</v>
      </c>
      <c r="BF29" s="31">
        <f>29</f>
        <v>29</v>
      </c>
      <c r="BH29" s="15">
        <f>G29*AO29</f>
        <v>0</v>
      </c>
      <c r="BI29" s="15">
        <f>G29*AP29</f>
        <v>0</v>
      </c>
      <c r="BJ29" s="15">
        <f>G29*H29</f>
        <v>0</v>
      </c>
    </row>
    <row r="30" spans="1:62" x14ac:dyDescent="0.2">
      <c r="A30" s="3"/>
      <c r="B30" s="11" t="s">
        <v>27</v>
      </c>
      <c r="C30" s="134" t="s">
        <v>307</v>
      </c>
      <c r="D30" s="135"/>
      <c r="E30" s="135"/>
      <c r="F30" s="3" t="s">
        <v>6</v>
      </c>
      <c r="G30" s="3" t="s">
        <v>6</v>
      </c>
      <c r="H30" s="3" t="s">
        <v>6</v>
      </c>
      <c r="I30" s="33">
        <f>SUM(I31:I33)</f>
        <v>0</v>
      </c>
      <c r="J30" s="33">
        <f>SUM(J31:J33)</f>
        <v>0</v>
      </c>
      <c r="K30" s="33">
        <f>SUM(K31:K33)</f>
        <v>0</v>
      </c>
      <c r="L30" s="25"/>
      <c r="AI30" s="25" t="s">
        <v>486</v>
      </c>
      <c r="AS30" s="33">
        <f>SUM(AJ31:AJ33)</f>
        <v>0</v>
      </c>
      <c r="AT30" s="33">
        <f>SUM(AK31:AK33)</f>
        <v>0</v>
      </c>
      <c r="AU30" s="33">
        <f>SUM(AL31:AL33)</f>
        <v>0</v>
      </c>
    </row>
    <row r="31" spans="1:62" x14ac:dyDescent="0.2">
      <c r="A31" s="4" t="s">
        <v>17</v>
      </c>
      <c r="B31" s="4" t="s">
        <v>176</v>
      </c>
      <c r="C31" s="136" t="s">
        <v>308</v>
      </c>
      <c r="D31" s="137"/>
      <c r="E31" s="137"/>
      <c r="F31" s="4" t="s">
        <v>460</v>
      </c>
      <c r="G31" s="65">
        <v>32.549999999999997</v>
      </c>
      <c r="H31" s="15">
        <v>0</v>
      </c>
      <c r="I31" s="15">
        <f>G31*AO31</f>
        <v>0</v>
      </c>
      <c r="J31" s="15">
        <f>G31*AP31</f>
        <v>0</v>
      </c>
      <c r="K31" s="15">
        <f>G31*H31</f>
        <v>0</v>
      </c>
      <c r="L31" s="26" t="s">
        <v>476</v>
      </c>
      <c r="Z31" s="31">
        <f>IF(AQ31="5",BJ31,0)</f>
        <v>0</v>
      </c>
      <c r="AB31" s="31">
        <f>IF(AQ31="1",BH31,0)</f>
        <v>0</v>
      </c>
      <c r="AC31" s="31">
        <f>IF(AQ31="1",BI31,0)</f>
        <v>0</v>
      </c>
      <c r="AD31" s="31">
        <f>IF(AQ31="7",BH31,0)</f>
        <v>0</v>
      </c>
      <c r="AE31" s="31">
        <f>IF(AQ31="7",BI31,0)</f>
        <v>0</v>
      </c>
      <c r="AF31" s="31">
        <f>IF(AQ31="2",BH31,0)</f>
        <v>0</v>
      </c>
      <c r="AG31" s="31">
        <f>IF(AQ31="2",BI31,0)</f>
        <v>0</v>
      </c>
      <c r="AH31" s="31">
        <f>IF(AQ31="0",BJ31,0)</f>
        <v>0</v>
      </c>
      <c r="AI31" s="25" t="s">
        <v>486</v>
      </c>
      <c r="AJ31" s="15">
        <f>IF(AN31=0,K31,0)</f>
        <v>0</v>
      </c>
      <c r="AK31" s="15">
        <f>IF(AN31=15,K31,0)</f>
        <v>0</v>
      </c>
      <c r="AL31" s="15">
        <f>IF(AN31=21,K31,0)</f>
        <v>0</v>
      </c>
      <c r="AN31" s="31">
        <v>21</v>
      </c>
      <c r="AO31" s="31">
        <f>H31*0.668374700064958</f>
        <v>0</v>
      </c>
      <c r="AP31" s="31">
        <f>H31*(1-0.668374700064958)</f>
        <v>0</v>
      </c>
      <c r="AQ31" s="26" t="s">
        <v>7</v>
      </c>
      <c r="AV31" s="31">
        <f>AW31+AX31</f>
        <v>0</v>
      </c>
      <c r="AW31" s="31">
        <f>G31*AO31</f>
        <v>0</v>
      </c>
      <c r="AX31" s="31">
        <f>G31*AP31</f>
        <v>0</v>
      </c>
      <c r="AY31" s="32" t="s">
        <v>495</v>
      </c>
      <c r="AZ31" s="32" t="s">
        <v>518</v>
      </c>
      <c r="BA31" s="25" t="s">
        <v>540</v>
      </c>
      <c r="BC31" s="31">
        <f>AW31+AX31</f>
        <v>0</v>
      </c>
      <c r="BD31" s="31">
        <f>H31/(100-BE31)*100</f>
        <v>0</v>
      </c>
      <c r="BE31" s="31">
        <v>0</v>
      </c>
      <c r="BF31" s="31">
        <f>31</f>
        <v>31</v>
      </c>
      <c r="BH31" s="15">
        <f>G31*AO31</f>
        <v>0</v>
      </c>
      <c r="BI31" s="15">
        <f>G31*AP31</f>
        <v>0</v>
      </c>
      <c r="BJ31" s="15">
        <f>G31*H31</f>
        <v>0</v>
      </c>
    </row>
    <row r="32" spans="1:62" x14ac:dyDescent="0.2">
      <c r="B32" s="12" t="s">
        <v>168</v>
      </c>
      <c r="C32" s="138" t="s">
        <v>309</v>
      </c>
      <c r="D32" s="139"/>
      <c r="E32" s="139"/>
      <c r="F32" s="139"/>
      <c r="G32" s="139"/>
      <c r="H32" s="139"/>
      <c r="I32" s="139"/>
      <c r="J32" s="139"/>
      <c r="K32" s="139"/>
      <c r="L32" s="139"/>
    </row>
    <row r="33" spans="1:62" x14ac:dyDescent="0.2">
      <c r="A33" s="4" t="s">
        <v>18</v>
      </c>
      <c r="B33" s="4" t="s">
        <v>177</v>
      </c>
      <c r="C33" s="136" t="s">
        <v>310</v>
      </c>
      <c r="D33" s="137"/>
      <c r="E33" s="137"/>
      <c r="F33" s="4" t="s">
        <v>459</v>
      </c>
      <c r="G33" s="65">
        <v>16</v>
      </c>
      <c r="H33" s="15">
        <v>0</v>
      </c>
      <c r="I33" s="15">
        <f>G33*AO33</f>
        <v>0</v>
      </c>
      <c r="J33" s="15">
        <f>G33*AP33</f>
        <v>0</v>
      </c>
      <c r="K33" s="15">
        <f>G33*H33</f>
        <v>0</v>
      </c>
      <c r="L33" s="26" t="s">
        <v>476</v>
      </c>
      <c r="Z33" s="31">
        <f>IF(AQ33="5",BJ33,0)</f>
        <v>0</v>
      </c>
      <c r="AB33" s="31">
        <f>IF(AQ33="1",BH33,0)</f>
        <v>0</v>
      </c>
      <c r="AC33" s="31">
        <f>IF(AQ33="1",BI33,0)</f>
        <v>0</v>
      </c>
      <c r="AD33" s="31">
        <f>IF(AQ33="7",BH33,0)</f>
        <v>0</v>
      </c>
      <c r="AE33" s="31">
        <f>IF(AQ33="7",BI33,0)</f>
        <v>0</v>
      </c>
      <c r="AF33" s="31">
        <f>IF(AQ33="2",BH33,0)</f>
        <v>0</v>
      </c>
      <c r="AG33" s="31">
        <f>IF(AQ33="2",BI33,0)</f>
        <v>0</v>
      </c>
      <c r="AH33" s="31">
        <f>IF(AQ33="0",BJ33,0)</f>
        <v>0</v>
      </c>
      <c r="AI33" s="25" t="s">
        <v>486</v>
      </c>
      <c r="AJ33" s="15">
        <f>IF(AN33=0,K33,0)</f>
        <v>0</v>
      </c>
      <c r="AK33" s="15">
        <f>IF(AN33=15,K33,0)</f>
        <v>0</v>
      </c>
      <c r="AL33" s="15">
        <f>IF(AN33=21,K33,0)</f>
        <v>0</v>
      </c>
      <c r="AN33" s="31">
        <v>21</v>
      </c>
      <c r="AO33" s="31">
        <f>H33*0</f>
        <v>0</v>
      </c>
      <c r="AP33" s="31">
        <f>H33*(1-0)</f>
        <v>0</v>
      </c>
      <c r="AQ33" s="26" t="s">
        <v>7</v>
      </c>
      <c r="AV33" s="31">
        <f>AW33+AX33</f>
        <v>0</v>
      </c>
      <c r="AW33" s="31">
        <f>G33*AO33</f>
        <v>0</v>
      </c>
      <c r="AX33" s="31">
        <f>G33*AP33</f>
        <v>0</v>
      </c>
      <c r="AY33" s="32" t="s">
        <v>495</v>
      </c>
      <c r="AZ33" s="32" t="s">
        <v>518</v>
      </c>
      <c r="BA33" s="25" t="s">
        <v>540</v>
      </c>
      <c r="BC33" s="31">
        <f>AW33+AX33</f>
        <v>0</v>
      </c>
      <c r="BD33" s="31">
        <f>H33/(100-BE33)*100</f>
        <v>0</v>
      </c>
      <c r="BE33" s="31">
        <v>0</v>
      </c>
      <c r="BF33" s="31">
        <f>33</f>
        <v>33</v>
      </c>
      <c r="BH33" s="15">
        <f>G33*AO33</f>
        <v>0</v>
      </c>
      <c r="BI33" s="15">
        <f>G33*AP33</f>
        <v>0</v>
      </c>
      <c r="BJ33" s="15">
        <f>G33*H33</f>
        <v>0</v>
      </c>
    </row>
    <row r="34" spans="1:62" x14ac:dyDescent="0.2">
      <c r="A34" s="3"/>
      <c r="B34" s="11" t="s">
        <v>62</v>
      </c>
      <c r="C34" s="134" t="s">
        <v>311</v>
      </c>
      <c r="D34" s="135"/>
      <c r="E34" s="135"/>
      <c r="F34" s="3" t="s">
        <v>6</v>
      </c>
      <c r="G34" s="3" t="s">
        <v>6</v>
      </c>
      <c r="H34" s="3" t="s">
        <v>6</v>
      </c>
      <c r="I34" s="33">
        <f>SUM(I35:I35)</f>
        <v>0</v>
      </c>
      <c r="J34" s="33">
        <f>SUM(J35:J35)</f>
        <v>0</v>
      </c>
      <c r="K34" s="33">
        <f>SUM(K35:K35)</f>
        <v>0</v>
      </c>
      <c r="L34" s="25"/>
      <c r="AI34" s="25" t="s">
        <v>486</v>
      </c>
      <c r="AS34" s="33">
        <f>SUM(AJ35:AJ35)</f>
        <v>0</v>
      </c>
      <c r="AT34" s="33">
        <f>SUM(AK35:AK35)</f>
        <v>0</v>
      </c>
      <c r="AU34" s="33">
        <f>SUM(AL35:AL35)</f>
        <v>0</v>
      </c>
    </row>
    <row r="35" spans="1:62" x14ac:dyDescent="0.2">
      <c r="A35" s="4" t="s">
        <v>19</v>
      </c>
      <c r="B35" s="4" t="s">
        <v>178</v>
      </c>
      <c r="C35" s="136" t="s">
        <v>312</v>
      </c>
      <c r="D35" s="137"/>
      <c r="E35" s="137"/>
      <c r="F35" s="4" t="s">
        <v>459</v>
      </c>
      <c r="G35" s="65">
        <v>16</v>
      </c>
      <c r="H35" s="15">
        <v>0</v>
      </c>
      <c r="I35" s="15">
        <f>G35*AO35</f>
        <v>0</v>
      </c>
      <c r="J35" s="15">
        <f>G35*AP35</f>
        <v>0</v>
      </c>
      <c r="K35" s="15">
        <f>G35*H35</f>
        <v>0</v>
      </c>
      <c r="L35" s="26" t="s">
        <v>476</v>
      </c>
      <c r="Z35" s="31">
        <f>IF(AQ35="5",BJ35,0)</f>
        <v>0</v>
      </c>
      <c r="AB35" s="31">
        <f>IF(AQ35="1",BH35,0)</f>
        <v>0</v>
      </c>
      <c r="AC35" s="31">
        <f>IF(AQ35="1",BI35,0)</f>
        <v>0</v>
      </c>
      <c r="AD35" s="31">
        <f>IF(AQ35="7",BH35,0)</f>
        <v>0</v>
      </c>
      <c r="AE35" s="31">
        <f>IF(AQ35="7",BI35,0)</f>
        <v>0</v>
      </c>
      <c r="AF35" s="31">
        <f>IF(AQ35="2",BH35,0)</f>
        <v>0</v>
      </c>
      <c r="AG35" s="31">
        <f>IF(AQ35="2",BI35,0)</f>
        <v>0</v>
      </c>
      <c r="AH35" s="31">
        <f>IF(AQ35="0",BJ35,0)</f>
        <v>0</v>
      </c>
      <c r="AI35" s="25" t="s">
        <v>486</v>
      </c>
      <c r="AJ35" s="15">
        <f>IF(AN35=0,K35,0)</f>
        <v>0</v>
      </c>
      <c r="AK35" s="15">
        <f>IF(AN35=15,K35,0)</f>
        <v>0</v>
      </c>
      <c r="AL35" s="15">
        <f>IF(AN35=21,K35,0)</f>
        <v>0</v>
      </c>
      <c r="AN35" s="31">
        <v>21</v>
      </c>
      <c r="AO35" s="31">
        <f>H35*0.834376996805112</f>
        <v>0</v>
      </c>
      <c r="AP35" s="31">
        <f>H35*(1-0.834376996805112)</f>
        <v>0</v>
      </c>
      <c r="AQ35" s="26" t="s">
        <v>7</v>
      </c>
      <c r="AV35" s="31">
        <f>AW35+AX35</f>
        <v>0</v>
      </c>
      <c r="AW35" s="31">
        <f>G35*AO35</f>
        <v>0</v>
      </c>
      <c r="AX35" s="31">
        <f>G35*AP35</f>
        <v>0</v>
      </c>
      <c r="AY35" s="32" t="s">
        <v>496</v>
      </c>
      <c r="AZ35" s="32" t="s">
        <v>519</v>
      </c>
      <c r="BA35" s="25" t="s">
        <v>540</v>
      </c>
      <c r="BC35" s="31">
        <f>AW35+AX35</f>
        <v>0</v>
      </c>
      <c r="BD35" s="31">
        <f>H35/(100-BE35)*100</f>
        <v>0</v>
      </c>
      <c r="BE35" s="31">
        <v>0</v>
      </c>
      <c r="BF35" s="31">
        <f>35</f>
        <v>35</v>
      </c>
      <c r="BH35" s="15">
        <f>G35*AO35</f>
        <v>0</v>
      </c>
      <c r="BI35" s="15">
        <f>G35*AP35</f>
        <v>0</v>
      </c>
      <c r="BJ35" s="15">
        <f>G35*H35</f>
        <v>0</v>
      </c>
    </row>
    <row r="36" spans="1:62" x14ac:dyDescent="0.2">
      <c r="A36" s="3"/>
      <c r="B36" s="11" t="s">
        <v>65</v>
      </c>
      <c r="C36" s="134" t="s">
        <v>313</v>
      </c>
      <c r="D36" s="135"/>
      <c r="E36" s="135"/>
      <c r="F36" s="3" t="s">
        <v>6</v>
      </c>
      <c r="G36" s="3" t="s">
        <v>6</v>
      </c>
      <c r="H36" s="3" t="s">
        <v>6</v>
      </c>
      <c r="I36" s="33">
        <f>SUM(I37:I38)</f>
        <v>0</v>
      </c>
      <c r="J36" s="33">
        <f>SUM(J37:J38)</f>
        <v>0</v>
      </c>
      <c r="K36" s="33">
        <f>SUM(K37:K38)</f>
        <v>0</v>
      </c>
      <c r="L36" s="25"/>
      <c r="AI36" s="25" t="s">
        <v>486</v>
      </c>
      <c r="AS36" s="33">
        <f>SUM(AJ37:AJ38)</f>
        <v>0</v>
      </c>
      <c r="AT36" s="33">
        <f>SUM(AK37:AK38)</f>
        <v>0</v>
      </c>
      <c r="AU36" s="33">
        <f>SUM(AL37:AL38)</f>
        <v>0</v>
      </c>
    </row>
    <row r="37" spans="1:62" x14ac:dyDescent="0.2">
      <c r="A37" s="4" t="s">
        <v>20</v>
      </c>
      <c r="B37" s="4" t="s">
        <v>179</v>
      </c>
      <c r="C37" s="136" t="s">
        <v>314</v>
      </c>
      <c r="D37" s="137"/>
      <c r="E37" s="137"/>
      <c r="F37" s="4" t="s">
        <v>459</v>
      </c>
      <c r="G37" s="65">
        <v>16</v>
      </c>
      <c r="H37" s="15">
        <v>0</v>
      </c>
      <c r="I37" s="15">
        <f>G37*AO37</f>
        <v>0</v>
      </c>
      <c r="J37" s="15">
        <f>G37*AP37</f>
        <v>0</v>
      </c>
      <c r="K37" s="15">
        <f>G37*H37</f>
        <v>0</v>
      </c>
      <c r="L37" s="26" t="s">
        <v>476</v>
      </c>
      <c r="Z37" s="31">
        <f>IF(AQ37="5",BJ37,0)</f>
        <v>0</v>
      </c>
      <c r="AB37" s="31">
        <f>IF(AQ37="1",BH37,0)</f>
        <v>0</v>
      </c>
      <c r="AC37" s="31">
        <f>IF(AQ37="1",BI37,0)</f>
        <v>0</v>
      </c>
      <c r="AD37" s="31">
        <f>IF(AQ37="7",BH37,0)</f>
        <v>0</v>
      </c>
      <c r="AE37" s="31">
        <f>IF(AQ37="7",BI37,0)</f>
        <v>0</v>
      </c>
      <c r="AF37" s="31">
        <f>IF(AQ37="2",BH37,0)</f>
        <v>0</v>
      </c>
      <c r="AG37" s="31">
        <f>IF(AQ37="2",BI37,0)</f>
        <v>0</v>
      </c>
      <c r="AH37" s="31">
        <f>IF(AQ37="0",BJ37,0)</f>
        <v>0</v>
      </c>
      <c r="AI37" s="25" t="s">
        <v>486</v>
      </c>
      <c r="AJ37" s="15">
        <f>IF(AN37=0,K37,0)</f>
        <v>0</v>
      </c>
      <c r="AK37" s="15">
        <f>IF(AN37=15,K37,0)</f>
        <v>0</v>
      </c>
      <c r="AL37" s="15">
        <f>IF(AN37=21,K37,0)</f>
        <v>0</v>
      </c>
      <c r="AN37" s="31">
        <v>21</v>
      </c>
      <c r="AO37" s="31">
        <f>H37*0.129275421773242</f>
        <v>0</v>
      </c>
      <c r="AP37" s="31">
        <f>H37*(1-0.129275421773242)</f>
        <v>0</v>
      </c>
      <c r="AQ37" s="26" t="s">
        <v>7</v>
      </c>
      <c r="AV37" s="31">
        <f>AW37+AX37</f>
        <v>0</v>
      </c>
      <c r="AW37" s="31">
        <f>G37*AO37</f>
        <v>0</v>
      </c>
      <c r="AX37" s="31">
        <f>G37*AP37</f>
        <v>0</v>
      </c>
      <c r="AY37" s="32" t="s">
        <v>497</v>
      </c>
      <c r="AZ37" s="32" t="s">
        <v>519</v>
      </c>
      <c r="BA37" s="25" t="s">
        <v>540</v>
      </c>
      <c r="BC37" s="31">
        <f>AW37+AX37</f>
        <v>0</v>
      </c>
      <c r="BD37" s="31">
        <f>H37/(100-BE37)*100</f>
        <v>0</v>
      </c>
      <c r="BE37" s="31">
        <v>0</v>
      </c>
      <c r="BF37" s="31">
        <f>37</f>
        <v>37</v>
      </c>
      <c r="BH37" s="15">
        <f>G37*AO37</f>
        <v>0</v>
      </c>
      <c r="BI37" s="15">
        <f>G37*AP37</f>
        <v>0</v>
      </c>
      <c r="BJ37" s="15">
        <f>G37*H37</f>
        <v>0</v>
      </c>
    </row>
    <row r="38" spans="1:62" x14ac:dyDescent="0.2">
      <c r="A38" s="5" t="s">
        <v>21</v>
      </c>
      <c r="B38" s="5" t="s">
        <v>180</v>
      </c>
      <c r="C38" s="151" t="s">
        <v>315</v>
      </c>
      <c r="D38" s="152"/>
      <c r="E38" s="152"/>
      <c r="F38" s="5" t="s">
        <v>459</v>
      </c>
      <c r="G38" s="68">
        <v>16.8</v>
      </c>
      <c r="H38" s="16">
        <v>0</v>
      </c>
      <c r="I38" s="16">
        <f>G38*AO38</f>
        <v>0</v>
      </c>
      <c r="J38" s="16">
        <f>G38*AP38</f>
        <v>0</v>
      </c>
      <c r="K38" s="16">
        <f>G38*H38</f>
        <v>0</v>
      </c>
      <c r="L38" s="27" t="s">
        <v>476</v>
      </c>
      <c r="Z38" s="31">
        <f>IF(AQ38="5",BJ38,0)</f>
        <v>0</v>
      </c>
      <c r="AB38" s="31">
        <f>IF(AQ38="1",BH38,0)</f>
        <v>0</v>
      </c>
      <c r="AC38" s="31">
        <f>IF(AQ38="1",BI38,0)</f>
        <v>0</v>
      </c>
      <c r="AD38" s="31">
        <f>IF(AQ38="7",BH38,0)</f>
        <v>0</v>
      </c>
      <c r="AE38" s="31">
        <f>IF(AQ38="7",BI38,0)</f>
        <v>0</v>
      </c>
      <c r="AF38" s="31">
        <f>IF(AQ38="2",BH38,0)</f>
        <v>0</v>
      </c>
      <c r="AG38" s="31">
        <f>IF(AQ38="2",BI38,0)</f>
        <v>0</v>
      </c>
      <c r="AH38" s="31">
        <f>IF(AQ38="0",BJ38,0)</f>
        <v>0</v>
      </c>
      <c r="AI38" s="25" t="s">
        <v>486</v>
      </c>
      <c r="AJ38" s="16">
        <f>IF(AN38=0,K38,0)</f>
        <v>0</v>
      </c>
      <c r="AK38" s="16">
        <f>IF(AN38=15,K38,0)</f>
        <v>0</v>
      </c>
      <c r="AL38" s="16">
        <f>IF(AN38=21,K38,0)</f>
        <v>0</v>
      </c>
      <c r="AN38" s="31">
        <v>21</v>
      </c>
      <c r="AO38" s="31">
        <f>H38*1</f>
        <v>0</v>
      </c>
      <c r="AP38" s="31">
        <f>H38*(1-1)</f>
        <v>0</v>
      </c>
      <c r="AQ38" s="27" t="s">
        <v>7</v>
      </c>
      <c r="AV38" s="31">
        <f>AW38+AX38</f>
        <v>0</v>
      </c>
      <c r="AW38" s="31">
        <f>G38*AO38</f>
        <v>0</v>
      </c>
      <c r="AX38" s="31">
        <f>G38*AP38</f>
        <v>0</v>
      </c>
      <c r="AY38" s="32" t="s">
        <v>497</v>
      </c>
      <c r="AZ38" s="32" t="s">
        <v>519</v>
      </c>
      <c r="BA38" s="25" t="s">
        <v>540</v>
      </c>
      <c r="BC38" s="31">
        <f>AW38+AX38</f>
        <v>0</v>
      </c>
      <c r="BD38" s="31">
        <f>H38/(100-BE38)*100</f>
        <v>0</v>
      </c>
      <c r="BE38" s="31">
        <v>0</v>
      </c>
      <c r="BF38" s="31">
        <f>38</f>
        <v>38</v>
      </c>
      <c r="BH38" s="16">
        <f>G38*AO38</f>
        <v>0</v>
      </c>
      <c r="BI38" s="16">
        <f>G38*AP38</f>
        <v>0</v>
      </c>
      <c r="BJ38" s="16">
        <f>G38*H38</f>
        <v>0</v>
      </c>
    </row>
    <row r="39" spans="1:62" x14ac:dyDescent="0.2">
      <c r="A39" s="3"/>
      <c r="B39" s="11" t="s">
        <v>66</v>
      </c>
      <c r="C39" s="134" t="s">
        <v>316</v>
      </c>
      <c r="D39" s="135"/>
      <c r="E39" s="135"/>
      <c r="F39" s="3" t="s">
        <v>6</v>
      </c>
      <c r="G39" s="3" t="s">
        <v>6</v>
      </c>
      <c r="H39" s="3" t="s">
        <v>6</v>
      </c>
      <c r="I39" s="33">
        <f>SUM(I40:I43)</f>
        <v>0</v>
      </c>
      <c r="J39" s="33">
        <f>SUM(J40:J43)</f>
        <v>0</v>
      </c>
      <c r="K39" s="33">
        <f>SUM(K40:K43)</f>
        <v>0</v>
      </c>
      <c r="L39" s="25"/>
      <c r="AI39" s="25" t="s">
        <v>486</v>
      </c>
      <c r="AS39" s="33">
        <f>SUM(AJ40:AJ43)</f>
        <v>0</v>
      </c>
      <c r="AT39" s="33">
        <f>SUM(AK40:AK43)</f>
        <v>0</v>
      </c>
      <c r="AU39" s="33">
        <f>SUM(AL40:AL43)</f>
        <v>0</v>
      </c>
    </row>
    <row r="40" spans="1:62" x14ac:dyDescent="0.2">
      <c r="A40" s="4" t="s">
        <v>22</v>
      </c>
      <c r="B40" s="4" t="s">
        <v>181</v>
      </c>
      <c r="C40" s="136" t="s">
        <v>317</v>
      </c>
      <c r="D40" s="137"/>
      <c r="E40" s="137"/>
      <c r="F40" s="4" t="s">
        <v>459</v>
      </c>
      <c r="G40" s="65">
        <v>27.984999999999999</v>
      </c>
      <c r="H40" s="15">
        <v>0</v>
      </c>
      <c r="I40" s="15">
        <f>G40*AO40</f>
        <v>0</v>
      </c>
      <c r="J40" s="15">
        <f>G40*AP40</f>
        <v>0</v>
      </c>
      <c r="K40" s="15">
        <f>G40*H40</f>
        <v>0</v>
      </c>
      <c r="L40" s="26" t="s">
        <v>476</v>
      </c>
      <c r="Z40" s="31">
        <f>IF(AQ40="5",BJ40,0)</f>
        <v>0</v>
      </c>
      <c r="AB40" s="31">
        <f>IF(AQ40="1",BH40,0)</f>
        <v>0</v>
      </c>
      <c r="AC40" s="31">
        <f>IF(AQ40="1",BI40,0)</f>
        <v>0</v>
      </c>
      <c r="AD40" s="31">
        <f>IF(AQ40="7",BH40,0)</f>
        <v>0</v>
      </c>
      <c r="AE40" s="31">
        <f>IF(AQ40="7",BI40,0)</f>
        <v>0</v>
      </c>
      <c r="AF40" s="31">
        <f>IF(AQ40="2",BH40,0)</f>
        <v>0</v>
      </c>
      <c r="AG40" s="31">
        <f>IF(AQ40="2",BI40,0)</f>
        <v>0</v>
      </c>
      <c r="AH40" s="31">
        <f>IF(AQ40="0",BJ40,0)</f>
        <v>0</v>
      </c>
      <c r="AI40" s="25" t="s">
        <v>486</v>
      </c>
      <c r="AJ40" s="15">
        <f>IF(AN40=0,K40,0)</f>
        <v>0</v>
      </c>
      <c r="AK40" s="15">
        <f>IF(AN40=15,K40,0)</f>
        <v>0</v>
      </c>
      <c r="AL40" s="15">
        <f>IF(AN40=21,K40,0)</f>
        <v>0</v>
      </c>
      <c r="AN40" s="31">
        <v>21</v>
      </c>
      <c r="AO40" s="31">
        <f>H40*0.513642429056441</f>
        <v>0</v>
      </c>
      <c r="AP40" s="31">
        <f>H40*(1-0.513642429056441)</f>
        <v>0</v>
      </c>
      <c r="AQ40" s="26" t="s">
        <v>7</v>
      </c>
      <c r="AV40" s="31">
        <f>AW40+AX40</f>
        <v>0</v>
      </c>
      <c r="AW40" s="31">
        <f>G40*AO40</f>
        <v>0</v>
      </c>
      <c r="AX40" s="31">
        <f>G40*AP40</f>
        <v>0</v>
      </c>
      <c r="AY40" s="32" t="s">
        <v>498</v>
      </c>
      <c r="AZ40" s="32" t="s">
        <v>520</v>
      </c>
      <c r="BA40" s="25" t="s">
        <v>540</v>
      </c>
      <c r="BC40" s="31">
        <f>AW40+AX40</f>
        <v>0</v>
      </c>
      <c r="BD40" s="31">
        <f>H40/(100-BE40)*100</f>
        <v>0</v>
      </c>
      <c r="BE40" s="31">
        <v>0</v>
      </c>
      <c r="BF40" s="31">
        <f>40</f>
        <v>40</v>
      </c>
      <c r="BH40" s="15">
        <f>G40*AO40</f>
        <v>0</v>
      </c>
      <c r="BI40" s="15">
        <f>G40*AP40</f>
        <v>0</v>
      </c>
      <c r="BJ40" s="15">
        <f>G40*H40</f>
        <v>0</v>
      </c>
    </row>
    <row r="41" spans="1:62" x14ac:dyDescent="0.2">
      <c r="A41" s="4" t="s">
        <v>23</v>
      </c>
      <c r="B41" s="4" t="s">
        <v>182</v>
      </c>
      <c r="C41" s="136" t="s">
        <v>318</v>
      </c>
      <c r="D41" s="137"/>
      <c r="E41" s="137"/>
      <c r="F41" s="4" t="s">
        <v>459</v>
      </c>
      <c r="G41" s="65">
        <v>27.984999999999999</v>
      </c>
      <c r="H41" s="15">
        <v>0</v>
      </c>
      <c r="I41" s="15">
        <f>G41*AO41</f>
        <v>0</v>
      </c>
      <c r="J41" s="15">
        <f>G41*AP41</f>
        <v>0</v>
      </c>
      <c r="K41" s="15">
        <f>G41*H41</f>
        <v>0</v>
      </c>
      <c r="L41" s="26" t="s">
        <v>476</v>
      </c>
      <c r="Z41" s="31">
        <f>IF(AQ41="5",BJ41,0)</f>
        <v>0</v>
      </c>
      <c r="AB41" s="31">
        <f>IF(AQ41="1",BH41,0)</f>
        <v>0</v>
      </c>
      <c r="AC41" s="31">
        <f>IF(AQ41="1",BI41,0)</f>
        <v>0</v>
      </c>
      <c r="AD41" s="31">
        <f>IF(AQ41="7",BH41,0)</f>
        <v>0</v>
      </c>
      <c r="AE41" s="31">
        <f>IF(AQ41="7",BI41,0)</f>
        <v>0</v>
      </c>
      <c r="AF41" s="31">
        <f>IF(AQ41="2",BH41,0)</f>
        <v>0</v>
      </c>
      <c r="AG41" s="31">
        <f>IF(AQ41="2",BI41,0)</f>
        <v>0</v>
      </c>
      <c r="AH41" s="31">
        <f>IF(AQ41="0",BJ41,0)</f>
        <v>0</v>
      </c>
      <c r="AI41" s="25" t="s">
        <v>486</v>
      </c>
      <c r="AJ41" s="15">
        <f>IF(AN41=0,K41,0)</f>
        <v>0</v>
      </c>
      <c r="AK41" s="15">
        <f>IF(AN41=15,K41,0)</f>
        <v>0</v>
      </c>
      <c r="AL41" s="15">
        <f>IF(AN41=21,K41,0)</f>
        <v>0</v>
      </c>
      <c r="AN41" s="31">
        <v>21</v>
      </c>
      <c r="AO41" s="31">
        <f>H41*0.339925746054752</f>
        <v>0</v>
      </c>
      <c r="AP41" s="31">
        <f>H41*(1-0.339925746054752)</f>
        <v>0</v>
      </c>
      <c r="AQ41" s="26" t="s">
        <v>7</v>
      </c>
      <c r="AV41" s="31">
        <f>AW41+AX41</f>
        <v>0</v>
      </c>
      <c r="AW41" s="31">
        <f>G41*AO41</f>
        <v>0</v>
      </c>
      <c r="AX41" s="31">
        <f>G41*AP41</f>
        <v>0</v>
      </c>
      <c r="AY41" s="32" t="s">
        <v>498</v>
      </c>
      <c r="AZ41" s="32" t="s">
        <v>520</v>
      </c>
      <c r="BA41" s="25" t="s">
        <v>540</v>
      </c>
      <c r="BC41" s="31">
        <f>AW41+AX41</f>
        <v>0</v>
      </c>
      <c r="BD41" s="31">
        <f>H41/(100-BE41)*100</f>
        <v>0</v>
      </c>
      <c r="BE41" s="31">
        <v>0</v>
      </c>
      <c r="BF41" s="31">
        <f>41</f>
        <v>41</v>
      </c>
      <c r="BH41" s="15">
        <f>G41*AO41</f>
        <v>0</v>
      </c>
      <c r="BI41" s="15">
        <f>G41*AP41</f>
        <v>0</v>
      </c>
      <c r="BJ41" s="15">
        <f>G41*H41</f>
        <v>0</v>
      </c>
    </row>
    <row r="42" spans="1:62" x14ac:dyDescent="0.2">
      <c r="A42" s="4" t="s">
        <v>24</v>
      </c>
      <c r="B42" s="4" t="s">
        <v>183</v>
      </c>
      <c r="C42" s="136" t="s">
        <v>319</v>
      </c>
      <c r="D42" s="137"/>
      <c r="E42" s="137"/>
      <c r="F42" s="4" t="s">
        <v>459</v>
      </c>
      <c r="G42" s="65">
        <v>27.984999999999999</v>
      </c>
      <c r="H42" s="15">
        <v>0</v>
      </c>
      <c r="I42" s="15">
        <f>G42*AO42</f>
        <v>0</v>
      </c>
      <c r="J42" s="15">
        <f>G42*AP42</f>
        <v>0</v>
      </c>
      <c r="K42" s="15">
        <f>G42*H42</f>
        <v>0</v>
      </c>
      <c r="L42" s="26" t="s">
        <v>476</v>
      </c>
      <c r="Z42" s="31">
        <f>IF(AQ42="5",BJ42,0)</f>
        <v>0</v>
      </c>
      <c r="AB42" s="31">
        <f>IF(AQ42="1",BH42,0)</f>
        <v>0</v>
      </c>
      <c r="AC42" s="31">
        <f>IF(AQ42="1",BI42,0)</f>
        <v>0</v>
      </c>
      <c r="AD42" s="31">
        <f>IF(AQ42="7",BH42,0)</f>
        <v>0</v>
      </c>
      <c r="AE42" s="31">
        <f>IF(AQ42="7",BI42,0)</f>
        <v>0</v>
      </c>
      <c r="AF42" s="31">
        <f>IF(AQ42="2",BH42,0)</f>
        <v>0</v>
      </c>
      <c r="AG42" s="31">
        <f>IF(AQ42="2",BI42,0)</f>
        <v>0</v>
      </c>
      <c r="AH42" s="31">
        <f>IF(AQ42="0",BJ42,0)</f>
        <v>0</v>
      </c>
      <c r="AI42" s="25" t="s">
        <v>486</v>
      </c>
      <c r="AJ42" s="15">
        <f>IF(AN42=0,K42,0)</f>
        <v>0</v>
      </c>
      <c r="AK42" s="15">
        <f>IF(AN42=15,K42,0)</f>
        <v>0</v>
      </c>
      <c r="AL42" s="15">
        <f>IF(AN42=21,K42,0)</f>
        <v>0</v>
      </c>
      <c r="AN42" s="31">
        <v>21</v>
      </c>
      <c r="AO42" s="31">
        <f>H42*0.537235645293363</f>
        <v>0</v>
      </c>
      <c r="AP42" s="31">
        <f>H42*(1-0.537235645293363)</f>
        <v>0</v>
      </c>
      <c r="AQ42" s="26" t="s">
        <v>7</v>
      </c>
      <c r="AV42" s="31">
        <f>AW42+AX42</f>
        <v>0</v>
      </c>
      <c r="AW42" s="31">
        <f>G42*AO42</f>
        <v>0</v>
      </c>
      <c r="AX42" s="31">
        <f>G42*AP42</f>
        <v>0</v>
      </c>
      <c r="AY42" s="32" t="s">
        <v>498</v>
      </c>
      <c r="AZ42" s="32" t="s">
        <v>520</v>
      </c>
      <c r="BA42" s="25" t="s">
        <v>540</v>
      </c>
      <c r="BC42" s="31">
        <f>AW42+AX42</f>
        <v>0</v>
      </c>
      <c r="BD42" s="31">
        <f>H42/(100-BE42)*100</f>
        <v>0</v>
      </c>
      <c r="BE42" s="31">
        <v>0</v>
      </c>
      <c r="BF42" s="31">
        <f>42</f>
        <v>42</v>
      </c>
      <c r="BH42" s="15">
        <f>G42*AO42</f>
        <v>0</v>
      </c>
      <c r="BI42" s="15">
        <f>G42*AP42</f>
        <v>0</v>
      </c>
      <c r="BJ42" s="15">
        <f>G42*H42</f>
        <v>0</v>
      </c>
    </row>
    <row r="43" spans="1:62" x14ac:dyDescent="0.2">
      <c r="A43" s="4" t="s">
        <v>25</v>
      </c>
      <c r="B43" s="4" t="s">
        <v>184</v>
      </c>
      <c r="C43" s="136" t="s">
        <v>320</v>
      </c>
      <c r="D43" s="137"/>
      <c r="E43" s="137"/>
      <c r="F43" s="4" t="s">
        <v>459</v>
      </c>
      <c r="G43" s="65">
        <v>27.984999999999999</v>
      </c>
      <c r="H43" s="15">
        <v>0</v>
      </c>
      <c r="I43" s="15">
        <f>G43*AO43</f>
        <v>0</v>
      </c>
      <c r="J43" s="15">
        <f>G43*AP43</f>
        <v>0</v>
      </c>
      <c r="K43" s="15">
        <f>G43*H43</f>
        <v>0</v>
      </c>
      <c r="L43" s="26" t="s">
        <v>476</v>
      </c>
      <c r="Z43" s="31">
        <f>IF(AQ43="5",BJ43,0)</f>
        <v>0</v>
      </c>
      <c r="AB43" s="31">
        <f>IF(AQ43="1",BH43,0)</f>
        <v>0</v>
      </c>
      <c r="AC43" s="31">
        <f>IF(AQ43="1",BI43,0)</f>
        <v>0</v>
      </c>
      <c r="AD43" s="31">
        <f>IF(AQ43="7",BH43,0)</f>
        <v>0</v>
      </c>
      <c r="AE43" s="31">
        <f>IF(AQ43="7",BI43,0)</f>
        <v>0</v>
      </c>
      <c r="AF43" s="31">
        <f>IF(AQ43="2",BH43,0)</f>
        <v>0</v>
      </c>
      <c r="AG43" s="31">
        <f>IF(AQ43="2",BI43,0)</f>
        <v>0</v>
      </c>
      <c r="AH43" s="31">
        <f>IF(AQ43="0",BJ43,0)</f>
        <v>0</v>
      </c>
      <c r="AI43" s="25" t="s">
        <v>486</v>
      </c>
      <c r="AJ43" s="15">
        <f>IF(AN43=0,K43,0)</f>
        <v>0</v>
      </c>
      <c r="AK43" s="15">
        <f>IF(AN43=15,K43,0)</f>
        <v>0</v>
      </c>
      <c r="AL43" s="15">
        <f>IF(AN43=21,K43,0)</f>
        <v>0</v>
      </c>
      <c r="AN43" s="31">
        <v>21</v>
      </c>
      <c r="AO43" s="31">
        <f>H43*0.214037880156742</f>
        <v>0</v>
      </c>
      <c r="AP43" s="31">
        <f>H43*(1-0.214037880156742)</f>
        <v>0</v>
      </c>
      <c r="AQ43" s="26" t="s">
        <v>7</v>
      </c>
      <c r="AV43" s="31">
        <f>AW43+AX43</f>
        <v>0</v>
      </c>
      <c r="AW43" s="31">
        <f>G43*AO43</f>
        <v>0</v>
      </c>
      <c r="AX43" s="31">
        <f>G43*AP43</f>
        <v>0</v>
      </c>
      <c r="AY43" s="32" t="s">
        <v>498</v>
      </c>
      <c r="AZ43" s="32" t="s">
        <v>520</v>
      </c>
      <c r="BA43" s="25" t="s">
        <v>540</v>
      </c>
      <c r="BC43" s="31">
        <f>AW43+AX43</f>
        <v>0</v>
      </c>
      <c r="BD43" s="31">
        <f>H43/(100-BE43)*100</f>
        <v>0</v>
      </c>
      <c r="BE43" s="31">
        <v>0</v>
      </c>
      <c r="BF43" s="31">
        <f>43</f>
        <v>43</v>
      </c>
      <c r="BH43" s="15">
        <f>G43*AO43</f>
        <v>0</v>
      </c>
      <c r="BI43" s="15">
        <f>G43*AP43</f>
        <v>0</v>
      </c>
      <c r="BJ43" s="15">
        <f>G43*H43</f>
        <v>0</v>
      </c>
    </row>
    <row r="44" spans="1:62" x14ac:dyDescent="0.2">
      <c r="A44" s="3"/>
      <c r="B44" s="11" t="s">
        <v>68</v>
      </c>
      <c r="C44" s="134" t="s">
        <v>321</v>
      </c>
      <c r="D44" s="135"/>
      <c r="E44" s="135"/>
      <c r="F44" s="3" t="s">
        <v>6</v>
      </c>
      <c r="G44" s="3" t="s">
        <v>6</v>
      </c>
      <c r="H44" s="3" t="s">
        <v>6</v>
      </c>
      <c r="I44" s="33">
        <f>SUM(I45:I46)</f>
        <v>0</v>
      </c>
      <c r="J44" s="33">
        <f>SUM(J45:J46)</f>
        <v>0</v>
      </c>
      <c r="K44" s="33">
        <f>SUM(K45:K46)</f>
        <v>0</v>
      </c>
      <c r="L44" s="25"/>
      <c r="AI44" s="25" t="s">
        <v>486</v>
      </c>
      <c r="AS44" s="33">
        <f>SUM(AJ45:AJ46)</f>
        <v>0</v>
      </c>
      <c r="AT44" s="33">
        <f>SUM(AK45:AK46)</f>
        <v>0</v>
      </c>
      <c r="AU44" s="33">
        <f>SUM(AL45:AL46)</f>
        <v>0</v>
      </c>
    </row>
    <row r="45" spans="1:62" x14ac:dyDescent="0.2">
      <c r="A45" s="4" t="s">
        <v>26</v>
      </c>
      <c r="B45" s="4" t="s">
        <v>185</v>
      </c>
      <c r="C45" s="136" t="s">
        <v>322</v>
      </c>
      <c r="D45" s="137"/>
      <c r="E45" s="137"/>
      <c r="F45" s="4" t="s">
        <v>459</v>
      </c>
      <c r="G45" s="65">
        <v>16.356999999999999</v>
      </c>
      <c r="H45" s="15">
        <v>0</v>
      </c>
      <c r="I45" s="15">
        <f>G45*AO45</f>
        <v>0</v>
      </c>
      <c r="J45" s="15">
        <f>G45*AP45</f>
        <v>0</v>
      </c>
      <c r="K45" s="15">
        <f>G45*H45</f>
        <v>0</v>
      </c>
      <c r="L45" s="26" t="s">
        <v>476</v>
      </c>
      <c r="Z45" s="31">
        <f>IF(AQ45="5",BJ45,0)</f>
        <v>0</v>
      </c>
      <c r="AB45" s="31">
        <f>IF(AQ45="1",BH45,0)</f>
        <v>0</v>
      </c>
      <c r="AC45" s="31">
        <f>IF(AQ45="1",BI45,0)</f>
        <v>0</v>
      </c>
      <c r="AD45" s="31">
        <f>IF(AQ45="7",BH45,0)</f>
        <v>0</v>
      </c>
      <c r="AE45" s="31">
        <f>IF(AQ45="7",BI45,0)</f>
        <v>0</v>
      </c>
      <c r="AF45" s="31">
        <f>IF(AQ45="2",BH45,0)</f>
        <v>0</v>
      </c>
      <c r="AG45" s="31">
        <f>IF(AQ45="2",BI45,0)</f>
        <v>0</v>
      </c>
      <c r="AH45" s="31">
        <f>IF(AQ45="0",BJ45,0)</f>
        <v>0</v>
      </c>
      <c r="AI45" s="25" t="s">
        <v>486</v>
      </c>
      <c r="AJ45" s="15">
        <f>IF(AN45=0,K45,0)</f>
        <v>0</v>
      </c>
      <c r="AK45" s="15">
        <f>IF(AN45=15,K45,0)</f>
        <v>0</v>
      </c>
      <c r="AL45" s="15">
        <f>IF(AN45=21,K45,0)</f>
        <v>0</v>
      </c>
      <c r="AN45" s="31">
        <v>21</v>
      </c>
      <c r="AO45" s="31">
        <f>H45*0</f>
        <v>0</v>
      </c>
      <c r="AP45" s="31">
        <f>H45*(1-0)</f>
        <v>0</v>
      </c>
      <c r="AQ45" s="26" t="s">
        <v>7</v>
      </c>
      <c r="AV45" s="31">
        <f>AW45+AX45</f>
        <v>0</v>
      </c>
      <c r="AW45" s="31">
        <f>G45*AO45</f>
        <v>0</v>
      </c>
      <c r="AX45" s="31">
        <f>G45*AP45</f>
        <v>0</v>
      </c>
      <c r="AY45" s="32" t="s">
        <v>499</v>
      </c>
      <c r="AZ45" s="32" t="s">
        <v>520</v>
      </c>
      <c r="BA45" s="25" t="s">
        <v>540</v>
      </c>
      <c r="BC45" s="31">
        <f>AW45+AX45</f>
        <v>0</v>
      </c>
      <c r="BD45" s="31">
        <f>H45/(100-BE45)*100</f>
        <v>0</v>
      </c>
      <c r="BE45" s="31">
        <v>0</v>
      </c>
      <c r="BF45" s="31">
        <f>45</f>
        <v>45</v>
      </c>
      <c r="BH45" s="15">
        <f>G45*AO45</f>
        <v>0</v>
      </c>
      <c r="BI45" s="15">
        <f>G45*AP45</f>
        <v>0</v>
      </c>
      <c r="BJ45" s="15">
        <f>G45*H45</f>
        <v>0</v>
      </c>
    </row>
    <row r="46" spans="1:62" x14ac:dyDescent="0.2">
      <c r="A46" s="4" t="s">
        <v>27</v>
      </c>
      <c r="B46" s="4" t="s">
        <v>186</v>
      </c>
      <c r="C46" s="136" t="s">
        <v>323</v>
      </c>
      <c r="D46" s="137"/>
      <c r="E46" s="137"/>
      <c r="F46" s="4" t="s">
        <v>460</v>
      </c>
      <c r="G46" s="65">
        <v>31.7</v>
      </c>
      <c r="H46" s="15">
        <v>0</v>
      </c>
      <c r="I46" s="15">
        <f>G46*AO46</f>
        <v>0</v>
      </c>
      <c r="J46" s="15">
        <f>G46*AP46</f>
        <v>0</v>
      </c>
      <c r="K46" s="15">
        <f>G46*H46</f>
        <v>0</v>
      </c>
      <c r="L46" s="26" t="s">
        <v>476</v>
      </c>
      <c r="Z46" s="31">
        <f>IF(AQ46="5",BJ46,0)</f>
        <v>0</v>
      </c>
      <c r="AB46" s="31">
        <f>IF(AQ46="1",BH46,0)</f>
        <v>0</v>
      </c>
      <c r="AC46" s="31">
        <f>IF(AQ46="1",BI46,0)</f>
        <v>0</v>
      </c>
      <c r="AD46" s="31">
        <f>IF(AQ46="7",BH46,0)</f>
        <v>0</v>
      </c>
      <c r="AE46" s="31">
        <f>IF(AQ46="7",BI46,0)</f>
        <v>0</v>
      </c>
      <c r="AF46" s="31">
        <f>IF(AQ46="2",BH46,0)</f>
        <v>0</v>
      </c>
      <c r="AG46" s="31">
        <f>IF(AQ46="2",BI46,0)</f>
        <v>0</v>
      </c>
      <c r="AH46" s="31">
        <f>IF(AQ46="0",BJ46,0)</f>
        <v>0</v>
      </c>
      <c r="AI46" s="25" t="s">
        <v>486</v>
      </c>
      <c r="AJ46" s="15">
        <f>IF(AN46=0,K46,0)</f>
        <v>0</v>
      </c>
      <c r="AK46" s="15">
        <f>IF(AN46=15,K46,0)</f>
        <v>0</v>
      </c>
      <c r="AL46" s="15">
        <f>IF(AN46=21,K46,0)</f>
        <v>0</v>
      </c>
      <c r="AN46" s="31">
        <v>21</v>
      </c>
      <c r="AO46" s="31">
        <f>H46*0.621144164759725</f>
        <v>0</v>
      </c>
      <c r="AP46" s="31">
        <f>H46*(1-0.621144164759725)</f>
        <v>0</v>
      </c>
      <c r="AQ46" s="26" t="s">
        <v>7</v>
      </c>
      <c r="AV46" s="31">
        <f>AW46+AX46</f>
        <v>0</v>
      </c>
      <c r="AW46" s="31">
        <f>G46*AO46</f>
        <v>0</v>
      </c>
      <c r="AX46" s="31">
        <f>G46*AP46</f>
        <v>0</v>
      </c>
      <c r="AY46" s="32" t="s">
        <v>499</v>
      </c>
      <c r="AZ46" s="32" t="s">
        <v>520</v>
      </c>
      <c r="BA46" s="25" t="s">
        <v>540</v>
      </c>
      <c r="BC46" s="31">
        <f>AW46+AX46</f>
        <v>0</v>
      </c>
      <c r="BD46" s="31">
        <f>H46/(100-BE46)*100</f>
        <v>0</v>
      </c>
      <c r="BE46" s="31">
        <v>0</v>
      </c>
      <c r="BF46" s="31">
        <f>46</f>
        <v>46</v>
      </c>
      <c r="BH46" s="15">
        <f>G46*AO46</f>
        <v>0</v>
      </c>
      <c r="BI46" s="15">
        <f>G46*AP46</f>
        <v>0</v>
      </c>
      <c r="BJ46" s="15">
        <f>G46*H46</f>
        <v>0</v>
      </c>
    </row>
    <row r="47" spans="1:62" x14ac:dyDescent="0.2">
      <c r="A47" s="3"/>
      <c r="B47" s="11" t="s">
        <v>95</v>
      </c>
      <c r="C47" s="134" t="s">
        <v>324</v>
      </c>
      <c r="D47" s="135"/>
      <c r="E47" s="135"/>
      <c r="F47" s="3" t="s">
        <v>6</v>
      </c>
      <c r="G47" s="3" t="s">
        <v>6</v>
      </c>
      <c r="H47" s="3" t="s">
        <v>6</v>
      </c>
      <c r="I47" s="33">
        <f>SUM(I48:I48)</f>
        <v>0</v>
      </c>
      <c r="J47" s="33">
        <f>SUM(J48:J48)</f>
        <v>0</v>
      </c>
      <c r="K47" s="33">
        <f>SUM(K48:K48)</f>
        <v>0</v>
      </c>
      <c r="L47" s="25"/>
      <c r="AI47" s="25" t="s">
        <v>486</v>
      </c>
      <c r="AS47" s="33">
        <f>SUM(AJ48:AJ48)</f>
        <v>0</v>
      </c>
      <c r="AT47" s="33">
        <f>SUM(AK48:AK48)</f>
        <v>0</v>
      </c>
      <c r="AU47" s="33">
        <f>SUM(AL48:AL48)</f>
        <v>0</v>
      </c>
    </row>
    <row r="48" spans="1:62" x14ac:dyDescent="0.2">
      <c r="A48" s="4" t="s">
        <v>28</v>
      </c>
      <c r="B48" s="4" t="s">
        <v>187</v>
      </c>
      <c r="C48" s="136" t="s">
        <v>325</v>
      </c>
      <c r="D48" s="137"/>
      <c r="E48" s="137"/>
      <c r="F48" s="4" t="s">
        <v>456</v>
      </c>
      <c r="G48" s="65">
        <v>1</v>
      </c>
      <c r="H48" s="15">
        <v>0</v>
      </c>
      <c r="I48" s="15">
        <f>G48*AO48</f>
        <v>0</v>
      </c>
      <c r="J48" s="15">
        <f>G48*AP48</f>
        <v>0</v>
      </c>
      <c r="K48" s="15">
        <f>G48*H48</f>
        <v>0</v>
      </c>
      <c r="L48" s="26" t="s">
        <v>476</v>
      </c>
      <c r="Z48" s="31">
        <f>IF(AQ48="5",BJ48,0)</f>
        <v>0</v>
      </c>
      <c r="AB48" s="31">
        <f>IF(AQ48="1",BH48,0)</f>
        <v>0</v>
      </c>
      <c r="AC48" s="31">
        <f>IF(AQ48="1",BI48,0)</f>
        <v>0</v>
      </c>
      <c r="AD48" s="31">
        <f>IF(AQ48="7",BH48,0)</f>
        <v>0</v>
      </c>
      <c r="AE48" s="31">
        <f>IF(AQ48="7",BI48,0)</f>
        <v>0</v>
      </c>
      <c r="AF48" s="31">
        <f>IF(AQ48="2",BH48,0)</f>
        <v>0</v>
      </c>
      <c r="AG48" s="31">
        <f>IF(AQ48="2",BI48,0)</f>
        <v>0</v>
      </c>
      <c r="AH48" s="31">
        <f>IF(AQ48="0",BJ48,0)</f>
        <v>0</v>
      </c>
      <c r="AI48" s="25" t="s">
        <v>486</v>
      </c>
      <c r="AJ48" s="15">
        <f>IF(AN48=0,K48,0)</f>
        <v>0</v>
      </c>
      <c r="AK48" s="15">
        <f>IF(AN48=15,K48,0)</f>
        <v>0</v>
      </c>
      <c r="AL48" s="15">
        <f>IF(AN48=21,K48,0)</f>
        <v>0</v>
      </c>
      <c r="AN48" s="31">
        <v>21</v>
      </c>
      <c r="AO48" s="31">
        <f>H48*0.915433420365535</f>
        <v>0</v>
      </c>
      <c r="AP48" s="31">
        <f>H48*(1-0.915433420365535)</f>
        <v>0</v>
      </c>
      <c r="AQ48" s="26" t="s">
        <v>7</v>
      </c>
      <c r="AV48" s="31">
        <f>AW48+AX48</f>
        <v>0</v>
      </c>
      <c r="AW48" s="31">
        <f>G48*AO48</f>
        <v>0</v>
      </c>
      <c r="AX48" s="31">
        <f>G48*AP48</f>
        <v>0</v>
      </c>
      <c r="AY48" s="32" t="s">
        <v>500</v>
      </c>
      <c r="AZ48" s="32" t="s">
        <v>521</v>
      </c>
      <c r="BA48" s="25" t="s">
        <v>540</v>
      </c>
      <c r="BC48" s="31">
        <f>AW48+AX48</f>
        <v>0</v>
      </c>
      <c r="BD48" s="31">
        <f>H48/(100-BE48)*100</f>
        <v>0</v>
      </c>
      <c r="BE48" s="31">
        <v>0</v>
      </c>
      <c r="BF48" s="31">
        <f>48</f>
        <v>48</v>
      </c>
      <c r="BH48" s="15">
        <f>G48*AO48</f>
        <v>0</v>
      </c>
      <c r="BI48" s="15">
        <f>G48*AP48</f>
        <v>0</v>
      </c>
      <c r="BJ48" s="15">
        <f>G48*H48</f>
        <v>0</v>
      </c>
    </row>
    <row r="49" spans="1:62" x14ac:dyDescent="0.2">
      <c r="A49" s="3"/>
      <c r="B49" s="11" t="s">
        <v>97</v>
      </c>
      <c r="C49" s="134" t="s">
        <v>326</v>
      </c>
      <c r="D49" s="135"/>
      <c r="E49" s="135"/>
      <c r="F49" s="3" t="s">
        <v>6</v>
      </c>
      <c r="G49" s="3" t="s">
        <v>6</v>
      </c>
      <c r="H49" s="3" t="s">
        <v>6</v>
      </c>
      <c r="I49" s="33">
        <f>SUM(I50:I52)</f>
        <v>0</v>
      </c>
      <c r="J49" s="33">
        <f>SUM(J50:J52)</f>
        <v>0</v>
      </c>
      <c r="K49" s="33">
        <f>SUM(K50:K52)</f>
        <v>0</v>
      </c>
      <c r="L49" s="25"/>
      <c r="AI49" s="25" t="s">
        <v>486</v>
      </c>
      <c r="AS49" s="33">
        <f>SUM(AJ50:AJ52)</f>
        <v>0</v>
      </c>
      <c r="AT49" s="33">
        <f>SUM(AK50:AK52)</f>
        <v>0</v>
      </c>
      <c r="AU49" s="33">
        <f>SUM(AL50:AL52)</f>
        <v>0</v>
      </c>
    </row>
    <row r="50" spans="1:62" x14ac:dyDescent="0.2">
      <c r="A50" s="4" t="s">
        <v>29</v>
      </c>
      <c r="B50" s="4" t="s">
        <v>188</v>
      </c>
      <c r="C50" s="136" t="s">
        <v>327</v>
      </c>
      <c r="D50" s="137"/>
      <c r="E50" s="137"/>
      <c r="F50" s="4" t="s">
        <v>460</v>
      </c>
      <c r="G50" s="65">
        <v>31.7</v>
      </c>
      <c r="H50" s="15">
        <v>0</v>
      </c>
      <c r="I50" s="15">
        <f>G50*AO50</f>
        <v>0</v>
      </c>
      <c r="J50" s="15">
        <f>G50*AP50</f>
        <v>0</v>
      </c>
      <c r="K50" s="15">
        <f>G50*H50</f>
        <v>0</v>
      </c>
      <c r="L50" s="26" t="s">
        <v>476</v>
      </c>
      <c r="Z50" s="31">
        <f>IF(AQ50="5",BJ50,0)</f>
        <v>0</v>
      </c>
      <c r="AB50" s="31">
        <f>IF(AQ50="1",BH50,0)</f>
        <v>0</v>
      </c>
      <c r="AC50" s="31">
        <f>IF(AQ50="1",BI50,0)</f>
        <v>0</v>
      </c>
      <c r="AD50" s="31">
        <f>IF(AQ50="7",BH50,0)</f>
        <v>0</v>
      </c>
      <c r="AE50" s="31">
        <f>IF(AQ50="7",BI50,0)</f>
        <v>0</v>
      </c>
      <c r="AF50" s="31">
        <f>IF(AQ50="2",BH50,0)</f>
        <v>0</v>
      </c>
      <c r="AG50" s="31">
        <f>IF(AQ50="2",BI50,0)</f>
        <v>0</v>
      </c>
      <c r="AH50" s="31">
        <f>IF(AQ50="0",BJ50,0)</f>
        <v>0</v>
      </c>
      <c r="AI50" s="25" t="s">
        <v>486</v>
      </c>
      <c r="AJ50" s="15">
        <f>IF(AN50=0,K50,0)</f>
        <v>0</v>
      </c>
      <c r="AK50" s="15">
        <f>IF(AN50=15,K50,0)</f>
        <v>0</v>
      </c>
      <c r="AL50" s="15">
        <f>IF(AN50=21,K50,0)</f>
        <v>0</v>
      </c>
      <c r="AN50" s="31">
        <v>21</v>
      </c>
      <c r="AO50" s="31">
        <f>H50*0.575948553054662</f>
        <v>0</v>
      </c>
      <c r="AP50" s="31">
        <f>H50*(1-0.575948553054662)</f>
        <v>0</v>
      </c>
      <c r="AQ50" s="26" t="s">
        <v>7</v>
      </c>
      <c r="AV50" s="31">
        <f>AW50+AX50</f>
        <v>0</v>
      </c>
      <c r="AW50" s="31">
        <f>G50*AO50</f>
        <v>0</v>
      </c>
      <c r="AX50" s="31">
        <f>G50*AP50</f>
        <v>0</v>
      </c>
      <c r="AY50" s="32" t="s">
        <v>501</v>
      </c>
      <c r="AZ50" s="32" t="s">
        <v>522</v>
      </c>
      <c r="BA50" s="25" t="s">
        <v>540</v>
      </c>
      <c r="BC50" s="31">
        <f>AW50+AX50</f>
        <v>0</v>
      </c>
      <c r="BD50" s="31">
        <f>H50/(100-BE50)*100</f>
        <v>0</v>
      </c>
      <c r="BE50" s="31">
        <v>0</v>
      </c>
      <c r="BF50" s="31">
        <f>50</f>
        <v>50</v>
      </c>
      <c r="BH50" s="15">
        <f>G50*AO50</f>
        <v>0</v>
      </c>
      <c r="BI50" s="15">
        <f>G50*AP50</f>
        <v>0</v>
      </c>
      <c r="BJ50" s="15">
        <f>G50*H50</f>
        <v>0</v>
      </c>
    </row>
    <row r="51" spans="1:62" x14ac:dyDescent="0.2">
      <c r="A51" s="5" t="s">
        <v>30</v>
      </c>
      <c r="B51" s="5" t="s">
        <v>189</v>
      </c>
      <c r="C51" s="151" t="s">
        <v>328</v>
      </c>
      <c r="D51" s="152"/>
      <c r="E51" s="152"/>
      <c r="F51" s="5" t="s">
        <v>456</v>
      </c>
      <c r="G51" s="68">
        <v>64</v>
      </c>
      <c r="H51" s="16">
        <v>0</v>
      </c>
      <c r="I51" s="16">
        <f>G51*AO51</f>
        <v>0</v>
      </c>
      <c r="J51" s="16">
        <f>G51*AP51</f>
        <v>0</v>
      </c>
      <c r="K51" s="16">
        <f>G51*H51</f>
        <v>0</v>
      </c>
      <c r="L51" s="27" t="s">
        <v>476</v>
      </c>
      <c r="Z51" s="31">
        <f>IF(AQ51="5",BJ51,0)</f>
        <v>0</v>
      </c>
      <c r="AB51" s="31">
        <f>IF(AQ51="1",BH51,0)</f>
        <v>0</v>
      </c>
      <c r="AC51" s="31">
        <f>IF(AQ51="1",BI51,0)</f>
        <v>0</v>
      </c>
      <c r="AD51" s="31">
        <f>IF(AQ51="7",BH51,0)</f>
        <v>0</v>
      </c>
      <c r="AE51" s="31">
        <f>IF(AQ51="7",BI51,0)</f>
        <v>0</v>
      </c>
      <c r="AF51" s="31">
        <f>IF(AQ51="2",BH51,0)</f>
        <v>0</v>
      </c>
      <c r="AG51" s="31">
        <f>IF(AQ51="2",BI51,0)</f>
        <v>0</v>
      </c>
      <c r="AH51" s="31">
        <f>IF(AQ51="0",BJ51,0)</f>
        <v>0</v>
      </c>
      <c r="AI51" s="25" t="s">
        <v>486</v>
      </c>
      <c r="AJ51" s="16">
        <f>IF(AN51=0,K51,0)</f>
        <v>0</v>
      </c>
      <c r="AK51" s="16">
        <f>IF(AN51=15,K51,0)</f>
        <v>0</v>
      </c>
      <c r="AL51" s="16">
        <f>IF(AN51=21,K51,0)</f>
        <v>0</v>
      </c>
      <c r="AN51" s="31">
        <v>21</v>
      </c>
      <c r="AO51" s="31">
        <f>H51*1</f>
        <v>0</v>
      </c>
      <c r="AP51" s="31">
        <f>H51*(1-1)</f>
        <v>0</v>
      </c>
      <c r="AQ51" s="27" t="s">
        <v>7</v>
      </c>
      <c r="AV51" s="31">
        <f>AW51+AX51</f>
        <v>0</v>
      </c>
      <c r="AW51" s="31">
        <f>G51*AO51</f>
        <v>0</v>
      </c>
      <c r="AX51" s="31">
        <f>G51*AP51</f>
        <v>0</v>
      </c>
      <c r="AY51" s="32" t="s">
        <v>501</v>
      </c>
      <c r="AZ51" s="32" t="s">
        <v>522</v>
      </c>
      <c r="BA51" s="25" t="s">
        <v>540</v>
      </c>
      <c r="BC51" s="31">
        <f>AW51+AX51</f>
        <v>0</v>
      </c>
      <c r="BD51" s="31">
        <f>H51/(100-BE51)*100</f>
        <v>0</v>
      </c>
      <c r="BE51" s="31">
        <v>0</v>
      </c>
      <c r="BF51" s="31">
        <f>51</f>
        <v>51</v>
      </c>
      <c r="BH51" s="16">
        <f>G51*AO51</f>
        <v>0</v>
      </c>
      <c r="BI51" s="16">
        <f>G51*AP51</f>
        <v>0</v>
      </c>
      <c r="BJ51" s="16">
        <f>G51*H51</f>
        <v>0</v>
      </c>
    </row>
    <row r="52" spans="1:62" x14ac:dyDescent="0.2">
      <c r="A52" s="4" t="s">
        <v>31</v>
      </c>
      <c r="B52" s="4" t="s">
        <v>190</v>
      </c>
      <c r="C52" s="136" t="s">
        <v>329</v>
      </c>
      <c r="D52" s="137"/>
      <c r="E52" s="137"/>
      <c r="F52" s="4" t="s">
        <v>457</v>
      </c>
      <c r="G52" s="65">
        <v>2.3780000000000001</v>
      </c>
      <c r="H52" s="15">
        <v>0</v>
      </c>
      <c r="I52" s="15">
        <f>G52*AO52</f>
        <v>0</v>
      </c>
      <c r="J52" s="15">
        <f>G52*AP52</f>
        <v>0</v>
      </c>
      <c r="K52" s="15">
        <f>G52*H52</f>
        <v>0</v>
      </c>
      <c r="L52" s="26" t="s">
        <v>476</v>
      </c>
      <c r="Z52" s="31">
        <f>IF(AQ52="5",BJ52,0)</f>
        <v>0</v>
      </c>
      <c r="AB52" s="31">
        <f>IF(AQ52="1",BH52,0)</f>
        <v>0</v>
      </c>
      <c r="AC52" s="31">
        <f>IF(AQ52="1",BI52,0)</f>
        <v>0</v>
      </c>
      <c r="AD52" s="31">
        <f>IF(AQ52="7",BH52,0)</f>
        <v>0</v>
      </c>
      <c r="AE52" s="31">
        <f>IF(AQ52="7",BI52,0)</f>
        <v>0</v>
      </c>
      <c r="AF52" s="31">
        <f>IF(AQ52="2",BH52,0)</f>
        <v>0</v>
      </c>
      <c r="AG52" s="31">
        <f>IF(AQ52="2",BI52,0)</f>
        <v>0</v>
      </c>
      <c r="AH52" s="31">
        <f>IF(AQ52="0",BJ52,0)</f>
        <v>0</v>
      </c>
      <c r="AI52" s="25" t="s">
        <v>486</v>
      </c>
      <c r="AJ52" s="15">
        <f>IF(AN52=0,K52,0)</f>
        <v>0</v>
      </c>
      <c r="AK52" s="15">
        <f>IF(AN52=15,K52,0)</f>
        <v>0</v>
      </c>
      <c r="AL52" s="15">
        <f>IF(AN52=21,K52,0)</f>
        <v>0</v>
      </c>
      <c r="AN52" s="31">
        <v>21</v>
      </c>
      <c r="AO52" s="31">
        <f>H52*0.780343362831858</f>
        <v>0</v>
      </c>
      <c r="AP52" s="31">
        <f>H52*(1-0.780343362831858)</f>
        <v>0</v>
      </c>
      <c r="AQ52" s="26" t="s">
        <v>7</v>
      </c>
      <c r="AV52" s="31">
        <f>AW52+AX52</f>
        <v>0</v>
      </c>
      <c r="AW52" s="31">
        <f>G52*AO52</f>
        <v>0</v>
      </c>
      <c r="AX52" s="31">
        <f>G52*AP52</f>
        <v>0</v>
      </c>
      <c r="AY52" s="32" t="s">
        <v>501</v>
      </c>
      <c r="AZ52" s="32" t="s">
        <v>522</v>
      </c>
      <c r="BA52" s="25" t="s">
        <v>540</v>
      </c>
      <c r="BC52" s="31">
        <f>AW52+AX52</f>
        <v>0</v>
      </c>
      <c r="BD52" s="31">
        <f>H52/(100-BE52)*100</f>
        <v>0</v>
      </c>
      <c r="BE52" s="31">
        <v>0</v>
      </c>
      <c r="BF52" s="31">
        <f>52</f>
        <v>52</v>
      </c>
      <c r="BH52" s="15">
        <f>G52*AO52</f>
        <v>0</v>
      </c>
      <c r="BI52" s="15">
        <f>G52*AP52</f>
        <v>0</v>
      </c>
      <c r="BJ52" s="15">
        <f>G52*H52</f>
        <v>0</v>
      </c>
    </row>
    <row r="53" spans="1:62" x14ac:dyDescent="0.2">
      <c r="A53" s="3"/>
      <c r="B53" s="11" t="s">
        <v>100</v>
      </c>
      <c r="C53" s="134" t="s">
        <v>330</v>
      </c>
      <c r="D53" s="135"/>
      <c r="E53" s="135"/>
      <c r="F53" s="3" t="s">
        <v>6</v>
      </c>
      <c r="G53" s="3" t="s">
        <v>6</v>
      </c>
      <c r="H53" s="3" t="s">
        <v>6</v>
      </c>
      <c r="I53" s="33">
        <f>SUM(I54:I54)</f>
        <v>0</v>
      </c>
      <c r="J53" s="33">
        <f>SUM(J54:J54)</f>
        <v>0</v>
      </c>
      <c r="K53" s="33">
        <f>SUM(K54:K54)</f>
        <v>0</v>
      </c>
      <c r="L53" s="25"/>
      <c r="AI53" s="25" t="s">
        <v>486</v>
      </c>
      <c r="AS53" s="33">
        <f>SUM(AJ54:AJ54)</f>
        <v>0</v>
      </c>
      <c r="AT53" s="33">
        <f>SUM(AK54:AK54)</f>
        <v>0</v>
      </c>
      <c r="AU53" s="33">
        <f>SUM(AL54:AL54)</f>
        <v>0</v>
      </c>
    </row>
    <row r="54" spans="1:62" x14ac:dyDescent="0.2">
      <c r="A54" s="4" t="s">
        <v>32</v>
      </c>
      <c r="B54" s="4" t="s">
        <v>191</v>
      </c>
      <c r="C54" s="136" t="s">
        <v>331</v>
      </c>
      <c r="D54" s="137"/>
      <c r="E54" s="137"/>
      <c r="F54" s="4" t="s">
        <v>459</v>
      </c>
      <c r="G54" s="65">
        <v>30</v>
      </c>
      <c r="H54" s="15">
        <v>0</v>
      </c>
      <c r="I54" s="15">
        <f>G54*AO54</f>
        <v>0</v>
      </c>
      <c r="J54" s="15">
        <f>G54*AP54</f>
        <v>0</v>
      </c>
      <c r="K54" s="15">
        <f>G54*H54</f>
        <v>0</v>
      </c>
      <c r="L54" s="26" t="s">
        <v>476</v>
      </c>
      <c r="Z54" s="31">
        <f>IF(AQ54="5",BJ54,0)</f>
        <v>0</v>
      </c>
      <c r="AB54" s="31">
        <f>IF(AQ54="1",BH54,0)</f>
        <v>0</v>
      </c>
      <c r="AC54" s="31">
        <f>IF(AQ54="1",BI54,0)</f>
        <v>0</v>
      </c>
      <c r="AD54" s="31">
        <f>IF(AQ54="7",BH54,0)</f>
        <v>0</v>
      </c>
      <c r="AE54" s="31">
        <f>IF(AQ54="7",BI54,0)</f>
        <v>0</v>
      </c>
      <c r="AF54" s="31">
        <f>IF(AQ54="2",BH54,0)</f>
        <v>0</v>
      </c>
      <c r="AG54" s="31">
        <f>IF(AQ54="2",BI54,0)</f>
        <v>0</v>
      </c>
      <c r="AH54" s="31">
        <f>IF(AQ54="0",BJ54,0)</f>
        <v>0</v>
      </c>
      <c r="AI54" s="25" t="s">
        <v>486</v>
      </c>
      <c r="AJ54" s="15">
        <f>IF(AN54=0,K54,0)</f>
        <v>0</v>
      </c>
      <c r="AK54" s="15">
        <f>IF(AN54=15,K54,0)</f>
        <v>0</v>
      </c>
      <c r="AL54" s="15">
        <f>IF(AN54=21,K54,0)</f>
        <v>0</v>
      </c>
      <c r="AN54" s="31">
        <v>21</v>
      </c>
      <c r="AO54" s="31">
        <f>H54*0.346789667896679</f>
        <v>0</v>
      </c>
      <c r="AP54" s="31">
        <f>H54*(1-0.346789667896679)</f>
        <v>0</v>
      </c>
      <c r="AQ54" s="26" t="s">
        <v>7</v>
      </c>
      <c r="AV54" s="31">
        <f>AW54+AX54</f>
        <v>0</v>
      </c>
      <c r="AW54" s="31">
        <f>G54*AO54</f>
        <v>0</v>
      </c>
      <c r="AX54" s="31">
        <f>G54*AP54</f>
        <v>0</v>
      </c>
      <c r="AY54" s="32" t="s">
        <v>502</v>
      </c>
      <c r="AZ54" s="32" t="s">
        <v>522</v>
      </c>
      <c r="BA54" s="25" t="s">
        <v>540</v>
      </c>
      <c r="BC54" s="31">
        <f>AW54+AX54</f>
        <v>0</v>
      </c>
      <c r="BD54" s="31">
        <f>H54/(100-BE54)*100</f>
        <v>0</v>
      </c>
      <c r="BE54" s="31">
        <v>0</v>
      </c>
      <c r="BF54" s="31">
        <f>54</f>
        <v>54</v>
      </c>
      <c r="BH54" s="15">
        <f>G54*AO54</f>
        <v>0</v>
      </c>
      <c r="BI54" s="15">
        <f>G54*AP54</f>
        <v>0</v>
      </c>
      <c r="BJ54" s="15">
        <f>G54*H54</f>
        <v>0</v>
      </c>
    </row>
    <row r="55" spans="1:62" x14ac:dyDescent="0.2">
      <c r="A55" s="3"/>
      <c r="B55" s="11" t="s">
        <v>103</v>
      </c>
      <c r="C55" s="134" t="s">
        <v>332</v>
      </c>
      <c r="D55" s="135"/>
      <c r="E55" s="135"/>
      <c r="F55" s="3" t="s">
        <v>6</v>
      </c>
      <c r="G55" s="3" t="s">
        <v>6</v>
      </c>
      <c r="H55" s="3" t="s">
        <v>6</v>
      </c>
      <c r="I55" s="33">
        <f>SUM(I56:I57)</f>
        <v>0</v>
      </c>
      <c r="J55" s="33">
        <f>SUM(J56:J57)</f>
        <v>0</v>
      </c>
      <c r="K55" s="33">
        <f>SUM(K56:K57)</f>
        <v>0</v>
      </c>
      <c r="L55" s="25"/>
      <c r="AI55" s="25" t="s">
        <v>486</v>
      </c>
      <c r="AS55" s="33">
        <f>SUM(AJ56:AJ57)</f>
        <v>0</v>
      </c>
      <c r="AT55" s="33">
        <f>SUM(AK56:AK57)</f>
        <v>0</v>
      </c>
      <c r="AU55" s="33">
        <f>SUM(AL56:AL57)</f>
        <v>0</v>
      </c>
    </row>
    <row r="56" spans="1:62" x14ac:dyDescent="0.2">
      <c r="A56" s="4" t="s">
        <v>33</v>
      </c>
      <c r="B56" s="4" t="s">
        <v>192</v>
      </c>
      <c r="C56" s="136" t="s">
        <v>333</v>
      </c>
      <c r="D56" s="137"/>
      <c r="E56" s="137"/>
      <c r="F56" s="4" t="s">
        <v>459</v>
      </c>
      <c r="G56" s="65">
        <v>27.984999999999999</v>
      </c>
      <c r="H56" s="15">
        <v>0</v>
      </c>
      <c r="I56" s="15">
        <f>G56*AO56</f>
        <v>0</v>
      </c>
      <c r="J56" s="15">
        <f>G56*AP56</f>
        <v>0</v>
      </c>
      <c r="K56" s="15">
        <f>G56*H56</f>
        <v>0</v>
      </c>
      <c r="L56" s="26" t="s">
        <v>476</v>
      </c>
      <c r="Z56" s="31">
        <f>IF(AQ56="5",BJ56,0)</f>
        <v>0</v>
      </c>
      <c r="AB56" s="31">
        <f>IF(AQ56="1",BH56,0)</f>
        <v>0</v>
      </c>
      <c r="AC56" s="31">
        <f>IF(AQ56="1",BI56,0)</f>
        <v>0</v>
      </c>
      <c r="AD56" s="31">
        <f>IF(AQ56="7",BH56,0)</f>
        <v>0</v>
      </c>
      <c r="AE56" s="31">
        <f>IF(AQ56="7",BI56,0)</f>
        <v>0</v>
      </c>
      <c r="AF56" s="31">
        <f>IF(AQ56="2",BH56,0)</f>
        <v>0</v>
      </c>
      <c r="AG56" s="31">
        <f>IF(AQ56="2",BI56,0)</f>
        <v>0</v>
      </c>
      <c r="AH56" s="31">
        <f>IF(AQ56="0",BJ56,0)</f>
        <v>0</v>
      </c>
      <c r="AI56" s="25" t="s">
        <v>486</v>
      </c>
      <c r="AJ56" s="15">
        <f>IF(AN56=0,K56,0)</f>
        <v>0</v>
      </c>
      <c r="AK56" s="15">
        <f>IF(AN56=15,K56,0)</f>
        <v>0</v>
      </c>
      <c r="AL56" s="15">
        <f>IF(AN56=21,K56,0)</f>
        <v>0</v>
      </c>
      <c r="AN56" s="31">
        <v>21</v>
      </c>
      <c r="AO56" s="31">
        <f>H56*0</f>
        <v>0</v>
      </c>
      <c r="AP56" s="31">
        <f>H56*(1-0)</f>
        <v>0</v>
      </c>
      <c r="AQ56" s="26" t="s">
        <v>7</v>
      </c>
      <c r="AV56" s="31">
        <f>AW56+AX56</f>
        <v>0</v>
      </c>
      <c r="AW56" s="31">
        <f>G56*AO56</f>
        <v>0</v>
      </c>
      <c r="AX56" s="31">
        <f>G56*AP56</f>
        <v>0</v>
      </c>
      <c r="AY56" s="32" t="s">
        <v>503</v>
      </c>
      <c r="AZ56" s="32" t="s">
        <v>522</v>
      </c>
      <c r="BA56" s="25" t="s">
        <v>540</v>
      </c>
      <c r="BC56" s="31">
        <f>AW56+AX56</f>
        <v>0</v>
      </c>
      <c r="BD56" s="31">
        <f>H56/(100-BE56)*100</f>
        <v>0</v>
      </c>
      <c r="BE56" s="31">
        <v>0</v>
      </c>
      <c r="BF56" s="31">
        <f>56</f>
        <v>56</v>
      </c>
      <c r="BH56" s="15">
        <f>G56*AO56</f>
        <v>0</v>
      </c>
      <c r="BI56" s="15">
        <f>G56*AP56</f>
        <v>0</v>
      </c>
      <c r="BJ56" s="15">
        <f>G56*H56</f>
        <v>0</v>
      </c>
    </row>
    <row r="57" spans="1:62" x14ac:dyDescent="0.2">
      <c r="A57" s="4" t="s">
        <v>34</v>
      </c>
      <c r="B57" s="4" t="s">
        <v>193</v>
      </c>
      <c r="C57" s="136" t="s">
        <v>334</v>
      </c>
      <c r="D57" s="137"/>
      <c r="E57" s="137"/>
      <c r="F57" s="4" t="s">
        <v>459</v>
      </c>
      <c r="G57" s="65">
        <v>27.984999999999999</v>
      </c>
      <c r="H57" s="15">
        <v>0</v>
      </c>
      <c r="I57" s="15">
        <f>G57*AO57</f>
        <v>0</v>
      </c>
      <c r="J57" s="15">
        <f>G57*AP57</f>
        <v>0</v>
      </c>
      <c r="K57" s="15">
        <f>G57*H57</f>
        <v>0</v>
      </c>
      <c r="L57" s="26" t="s">
        <v>476</v>
      </c>
      <c r="Z57" s="31">
        <f>IF(AQ57="5",BJ57,0)</f>
        <v>0</v>
      </c>
      <c r="AB57" s="31">
        <f>IF(AQ57="1",BH57,0)</f>
        <v>0</v>
      </c>
      <c r="AC57" s="31">
        <f>IF(AQ57="1",BI57,0)</f>
        <v>0</v>
      </c>
      <c r="AD57" s="31">
        <f>IF(AQ57="7",BH57,0)</f>
        <v>0</v>
      </c>
      <c r="AE57" s="31">
        <f>IF(AQ57="7",BI57,0)</f>
        <v>0</v>
      </c>
      <c r="AF57" s="31">
        <f>IF(AQ57="2",BH57,0)</f>
        <v>0</v>
      </c>
      <c r="AG57" s="31">
        <f>IF(AQ57="2",BI57,0)</f>
        <v>0</v>
      </c>
      <c r="AH57" s="31">
        <f>IF(AQ57="0",BJ57,0)</f>
        <v>0</v>
      </c>
      <c r="AI57" s="25" t="s">
        <v>486</v>
      </c>
      <c r="AJ57" s="15">
        <f>IF(AN57=0,K57,0)</f>
        <v>0</v>
      </c>
      <c r="AK57" s="15">
        <f>IF(AN57=15,K57,0)</f>
        <v>0</v>
      </c>
      <c r="AL57" s="15">
        <f>IF(AN57=21,K57,0)</f>
        <v>0</v>
      </c>
      <c r="AN57" s="31">
        <v>21</v>
      </c>
      <c r="AO57" s="31">
        <f>H57*0</f>
        <v>0</v>
      </c>
      <c r="AP57" s="31">
        <f>H57*(1-0)</f>
        <v>0</v>
      </c>
      <c r="AQ57" s="26" t="s">
        <v>7</v>
      </c>
      <c r="AV57" s="31">
        <f>AW57+AX57</f>
        <v>0</v>
      </c>
      <c r="AW57" s="31">
        <f>G57*AO57</f>
        <v>0</v>
      </c>
      <c r="AX57" s="31">
        <f>G57*AP57</f>
        <v>0</v>
      </c>
      <c r="AY57" s="32" t="s">
        <v>503</v>
      </c>
      <c r="AZ57" s="32" t="s">
        <v>522</v>
      </c>
      <c r="BA57" s="25" t="s">
        <v>540</v>
      </c>
      <c r="BC57" s="31">
        <f>AW57+AX57</f>
        <v>0</v>
      </c>
      <c r="BD57" s="31">
        <f>H57/(100-BE57)*100</f>
        <v>0</v>
      </c>
      <c r="BE57" s="31">
        <v>0</v>
      </c>
      <c r="BF57" s="31">
        <f>57</f>
        <v>57</v>
      </c>
      <c r="BH57" s="15">
        <f>G57*AO57</f>
        <v>0</v>
      </c>
      <c r="BI57" s="15">
        <f>G57*AP57</f>
        <v>0</v>
      </c>
      <c r="BJ57" s="15">
        <f>G57*H57</f>
        <v>0</v>
      </c>
    </row>
    <row r="58" spans="1:62" x14ac:dyDescent="0.2">
      <c r="A58" s="3"/>
      <c r="B58" s="11" t="s">
        <v>194</v>
      </c>
      <c r="C58" s="134" t="s">
        <v>335</v>
      </c>
      <c r="D58" s="135"/>
      <c r="E58" s="135"/>
      <c r="F58" s="3" t="s">
        <v>6</v>
      </c>
      <c r="G58" s="3" t="s">
        <v>6</v>
      </c>
      <c r="H58" s="3" t="s">
        <v>6</v>
      </c>
      <c r="I58" s="33">
        <f>SUM(I59:I65)</f>
        <v>0</v>
      </c>
      <c r="J58" s="33">
        <f>SUM(J59:J65)</f>
        <v>0</v>
      </c>
      <c r="K58" s="33">
        <f>SUM(K59:K65)</f>
        <v>0</v>
      </c>
      <c r="L58" s="25"/>
      <c r="AI58" s="25" t="s">
        <v>486</v>
      </c>
      <c r="AS58" s="33">
        <f>SUM(AJ59:AJ65)</f>
        <v>0</v>
      </c>
      <c r="AT58" s="33">
        <f>SUM(AK59:AK65)</f>
        <v>0</v>
      </c>
      <c r="AU58" s="33">
        <f>SUM(AL59:AL65)</f>
        <v>0</v>
      </c>
    </row>
    <row r="59" spans="1:62" x14ac:dyDescent="0.2">
      <c r="A59" s="4" t="s">
        <v>35</v>
      </c>
      <c r="B59" s="4" t="s">
        <v>195</v>
      </c>
      <c r="C59" s="136" t="s">
        <v>336</v>
      </c>
      <c r="D59" s="137"/>
      <c r="E59" s="137"/>
      <c r="F59" s="4" t="s">
        <v>458</v>
      </c>
      <c r="G59" s="65">
        <v>1.679</v>
      </c>
      <c r="H59" s="15">
        <v>0</v>
      </c>
      <c r="I59" s="15">
        <f t="shared" ref="I59:I65" si="0">G59*AO59</f>
        <v>0</v>
      </c>
      <c r="J59" s="15">
        <f t="shared" ref="J59:J65" si="1">G59*AP59</f>
        <v>0</v>
      </c>
      <c r="K59" s="15">
        <f t="shared" ref="K59:K65" si="2">G59*H59</f>
        <v>0</v>
      </c>
      <c r="L59" s="26" t="s">
        <v>476</v>
      </c>
      <c r="Z59" s="31">
        <f t="shared" ref="Z59:Z65" si="3">IF(AQ59="5",BJ59,0)</f>
        <v>0</v>
      </c>
      <c r="AB59" s="31">
        <f t="shared" ref="AB59:AB65" si="4">IF(AQ59="1",BH59,0)</f>
        <v>0</v>
      </c>
      <c r="AC59" s="31">
        <f t="shared" ref="AC59:AC65" si="5">IF(AQ59="1",BI59,0)</f>
        <v>0</v>
      </c>
      <c r="AD59" s="31">
        <f t="shared" ref="AD59:AD65" si="6">IF(AQ59="7",BH59,0)</f>
        <v>0</v>
      </c>
      <c r="AE59" s="31">
        <f t="shared" ref="AE59:AE65" si="7">IF(AQ59="7",BI59,0)</f>
        <v>0</v>
      </c>
      <c r="AF59" s="31">
        <f t="shared" ref="AF59:AF65" si="8">IF(AQ59="2",BH59,0)</f>
        <v>0</v>
      </c>
      <c r="AG59" s="31">
        <f t="shared" ref="AG59:AG65" si="9">IF(AQ59="2",BI59,0)</f>
        <v>0</v>
      </c>
      <c r="AH59" s="31">
        <f t="shared" ref="AH59:AH65" si="10">IF(AQ59="0",BJ59,0)</f>
        <v>0</v>
      </c>
      <c r="AI59" s="25" t="s">
        <v>486</v>
      </c>
      <c r="AJ59" s="15">
        <f t="shared" ref="AJ59:AJ65" si="11">IF(AN59=0,K59,0)</f>
        <v>0</v>
      </c>
      <c r="AK59" s="15">
        <f t="shared" ref="AK59:AK65" si="12">IF(AN59=15,K59,0)</f>
        <v>0</v>
      </c>
      <c r="AL59" s="15">
        <f t="shared" ref="AL59:AL65" si="13">IF(AN59=21,K59,0)</f>
        <v>0</v>
      </c>
      <c r="AN59" s="31">
        <v>21</v>
      </c>
      <c r="AO59" s="31">
        <f t="shared" ref="AO59:AO65" si="14">H59*0</f>
        <v>0</v>
      </c>
      <c r="AP59" s="31">
        <f t="shared" ref="AP59:AP65" si="15">H59*(1-0)</f>
        <v>0</v>
      </c>
      <c r="AQ59" s="26" t="s">
        <v>11</v>
      </c>
      <c r="AV59" s="31">
        <f t="shared" ref="AV59:AV65" si="16">AW59+AX59</f>
        <v>0</v>
      </c>
      <c r="AW59" s="31">
        <f t="shared" ref="AW59:AW65" si="17">G59*AO59</f>
        <v>0</v>
      </c>
      <c r="AX59" s="31">
        <f t="shared" ref="AX59:AX65" si="18">G59*AP59</f>
        <v>0</v>
      </c>
      <c r="AY59" s="32" t="s">
        <v>504</v>
      </c>
      <c r="AZ59" s="32" t="s">
        <v>522</v>
      </c>
      <c r="BA59" s="25" t="s">
        <v>540</v>
      </c>
      <c r="BC59" s="31">
        <f t="shared" ref="BC59:BC65" si="19">AW59+AX59</f>
        <v>0</v>
      </c>
      <c r="BD59" s="31">
        <f t="shared" ref="BD59:BD65" si="20">H59/(100-BE59)*100</f>
        <v>0</v>
      </c>
      <c r="BE59" s="31">
        <v>0</v>
      </c>
      <c r="BF59" s="31">
        <f>59</f>
        <v>59</v>
      </c>
      <c r="BH59" s="15">
        <f t="shared" ref="BH59:BH65" si="21">G59*AO59</f>
        <v>0</v>
      </c>
      <c r="BI59" s="15">
        <f t="shared" ref="BI59:BI65" si="22">G59*AP59</f>
        <v>0</v>
      </c>
      <c r="BJ59" s="15">
        <f t="shared" ref="BJ59:BJ65" si="23">G59*H59</f>
        <v>0</v>
      </c>
    </row>
    <row r="60" spans="1:62" x14ac:dyDescent="0.2">
      <c r="A60" s="4" t="s">
        <v>36</v>
      </c>
      <c r="B60" s="4" t="s">
        <v>196</v>
      </c>
      <c r="C60" s="136" t="s">
        <v>337</v>
      </c>
      <c r="D60" s="137"/>
      <c r="E60" s="137"/>
      <c r="F60" s="4" t="s">
        <v>458</v>
      </c>
      <c r="G60" s="65">
        <v>6.7160000000000002</v>
      </c>
      <c r="H60" s="15">
        <v>0</v>
      </c>
      <c r="I60" s="15">
        <f t="shared" si="0"/>
        <v>0</v>
      </c>
      <c r="J60" s="15">
        <f t="shared" si="1"/>
        <v>0</v>
      </c>
      <c r="K60" s="15">
        <f t="shared" si="2"/>
        <v>0</v>
      </c>
      <c r="L60" s="26" t="s">
        <v>476</v>
      </c>
      <c r="Z60" s="31">
        <f t="shared" si="3"/>
        <v>0</v>
      </c>
      <c r="AB60" s="31">
        <f t="shared" si="4"/>
        <v>0</v>
      </c>
      <c r="AC60" s="31">
        <f t="shared" si="5"/>
        <v>0</v>
      </c>
      <c r="AD60" s="31">
        <f t="shared" si="6"/>
        <v>0</v>
      </c>
      <c r="AE60" s="31">
        <f t="shared" si="7"/>
        <v>0</v>
      </c>
      <c r="AF60" s="31">
        <f t="shared" si="8"/>
        <v>0</v>
      </c>
      <c r="AG60" s="31">
        <f t="shared" si="9"/>
        <v>0</v>
      </c>
      <c r="AH60" s="31">
        <f t="shared" si="10"/>
        <v>0</v>
      </c>
      <c r="AI60" s="25" t="s">
        <v>486</v>
      </c>
      <c r="AJ60" s="15">
        <f t="shared" si="11"/>
        <v>0</v>
      </c>
      <c r="AK60" s="15">
        <f t="shared" si="12"/>
        <v>0</v>
      </c>
      <c r="AL60" s="15">
        <f t="shared" si="13"/>
        <v>0</v>
      </c>
      <c r="AN60" s="31">
        <v>21</v>
      </c>
      <c r="AO60" s="31">
        <f t="shared" si="14"/>
        <v>0</v>
      </c>
      <c r="AP60" s="31">
        <f t="shared" si="15"/>
        <v>0</v>
      </c>
      <c r="AQ60" s="26" t="s">
        <v>11</v>
      </c>
      <c r="AV60" s="31">
        <f t="shared" si="16"/>
        <v>0</v>
      </c>
      <c r="AW60" s="31">
        <f t="shared" si="17"/>
        <v>0</v>
      </c>
      <c r="AX60" s="31">
        <f t="shared" si="18"/>
        <v>0</v>
      </c>
      <c r="AY60" s="32" t="s">
        <v>504</v>
      </c>
      <c r="AZ60" s="32" t="s">
        <v>522</v>
      </c>
      <c r="BA60" s="25" t="s">
        <v>540</v>
      </c>
      <c r="BC60" s="31">
        <f t="shared" si="19"/>
        <v>0</v>
      </c>
      <c r="BD60" s="31">
        <f t="shared" si="20"/>
        <v>0</v>
      </c>
      <c r="BE60" s="31">
        <v>0</v>
      </c>
      <c r="BF60" s="31">
        <f>60</f>
        <v>60</v>
      </c>
      <c r="BH60" s="15">
        <f t="shared" si="21"/>
        <v>0</v>
      </c>
      <c r="BI60" s="15">
        <f t="shared" si="22"/>
        <v>0</v>
      </c>
      <c r="BJ60" s="15">
        <f t="shared" si="23"/>
        <v>0</v>
      </c>
    </row>
    <row r="61" spans="1:62" x14ac:dyDescent="0.2">
      <c r="A61" s="4" t="s">
        <v>37</v>
      </c>
      <c r="B61" s="4" t="s">
        <v>197</v>
      </c>
      <c r="C61" s="136" t="s">
        <v>338</v>
      </c>
      <c r="D61" s="137"/>
      <c r="E61" s="137"/>
      <c r="F61" s="4" t="s">
        <v>458</v>
      </c>
      <c r="G61" s="65">
        <v>1.679</v>
      </c>
      <c r="H61" s="15">
        <v>0</v>
      </c>
      <c r="I61" s="15">
        <f t="shared" si="0"/>
        <v>0</v>
      </c>
      <c r="J61" s="15">
        <f t="shared" si="1"/>
        <v>0</v>
      </c>
      <c r="K61" s="15">
        <f t="shared" si="2"/>
        <v>0</v>
      </c>
      <c r="L61" s="26" t="s">
        <v>476</v>
      </c>
      <c r="Z61" s="31">
        <f t="shared" si="3"/>
        <v>0</v>
      </c>
      <c r="AB61" s="31">
        <f t="shared" si="4"/>
        <v>0</v>
      </c>
      <c r="AC61" s="31">
        <f t="shared" si="5"/>
        <v>0</v>
      </c>
      <c r="AD61" s="31">
        <f t="shared" si="6"/>
        <v>0</v>
      </c>
      <c r="AE61" s="31">
        <f t="shared" si="7"/>
        <v>0</v>
      </c>
      <c r="AF61" s="31">
        <f t="shared" si="8"/>
        <v>0</v>
      </c>
      <c r="AG61" s="31">
        <f t="shared" si="9"/>
        <v>0</v>
      </c>
      <c r="AH61" s="31">
        <f t="shared" si="10"/>
        <v>0</v>
      </c>
      <c r="AI61" s="25" t="s">
        <v>486</v>
      </c>
      <c r="AJ61" s="15">
        <f t="shared" si="11"/>
        <v>0</v>
      </c>
      <c r="AK61" s="15">
        <f t="shared" si="12"/>
        <v>0</v>
      </c>
      <c r="AL61" s="15">
        <f t="shared" si="13"/>
        <v>0</v>
      </c>
      <c r="AN61" s="31">
        <v>21</v>
      </c>
      <c r="AO61" s="31">
        <f t="shared" si="14"/>
        <v>0</v>
      </c>
      <c r="AP61" s="31">
        <f t="shared" si="15"/>
        <v>0</v>
      </c>
      <c r="AQ61" s="26" t="s">
        <v>11</v>
      </c>
      <c r="AV61" s="31">
        <f t="shared" si="16"/>
        <v>0</v>
      </c>
      <c r="AW61" s="31">
        <f t="shared" si="17"/>
        <v>0</v>
      </c>
      <c r="AX61" s="31">
        <f t="shared" si="18"/>
        <v>0</v>
      </c>
      <c r="AY61" s="32" t="s">
        <v>504</v>
      </c>
      <c r="AZ61" s="32" t="s">
        <v>522</v>
      </c>
      <c r="BA61" s="25" t="s">
        <v>540</v>
      </c>
      <c r="BC61" s="31">
        <f t="shared" si="19"/>
        <v>0</v>
      </c>
      <c r="BD61" s="31">
        <f t="shared" si="20"/>
        <v>0</v>
      </c>
      <c r="BE61" s="31">
        <v>0</v>
      </c>
      <c r="BF61" s="31">
        <f>61</f>
        <v>61</v>
      </c>
      <c r="BH61" s="15">
        <f t="shared" si="21"/>
        <v>0</v>
      </c>
      <c r="BI61" s="15">
        <f t="shared" si="22"/>
        <v>0</v>
      </c>
      <c r="BJ61" s="15">
        <f t="shared" si="23"/>
        <v>0</v>
      </c>
    </row>
    <row r="62" spans="1:62" x14ac:dyDescent="0.2">
      <c r="A62" s="4" t="s">
        <v>38</v>
      </c>
      <c r="B62" s="4" t="s">
        <v>198</v>
      </c>
      <c r="C62" s="136" t="s">
        <v>339</v>
      </c>
      <c r="D62" s="137"/>
      <c r="E62" s="137"/>
      <c r="F62" s="4" t="s">
        <v>458</v>
      </c>
      <c r="G62" s="65">
        <v>1.679</v>
      </c>
      <c r="H62" s="15">
        <v>0</v>
      </c>
      <c r="I62" s="15">
        <f t="shared" si="0"/>
        <v>0</v>
      </c>
      <c r="J62" s="15">
        <f t="shared" si="1"/>
        <v>0</v>
      </c>
      <c r="K62" s="15">
        <f t="shared" si="2"/>
        <v>0</v>
      </c>
      <c r="L62" s="26" t="s">
        <v>476</v>
      </c>
      <c r="Z62" s="31">
        <f t="shared" si="3"/>
        <v>0</v>
      </c>
      <c r="AB62" s="31">
        <f t="shared" si="4"/>
        <v>0</v>
      </c>
      <c r="AC62" s="31">
        <f t="shared" si="5"/>
        <v>0</v>
      </c>
      <c r="AD62" s="31">
        <f t="shared" si="6"/>
        <v>0</v>
      </c>
      <c r="AE62" s="31">
        <f t="shared" si="7"/>
        <v>0</v>
      </c>
      <c r="AF62" s="31">
        <f t="shared" si="8"/>
        <v>0</v>
      </c>
      <c r="AG62" s="31">
        <f t="shared" si="9"/>
        <v>0</v>
      </c>
      <c r="AH62" s="31">
        <f t="shared" si="10"/>
        <v>0</v>
      </c>
      <c r="AI62" s="25" t="s">
        <v>486</v>
      </c>
      <c r="AJ62" s="15">
        <f t="shared" si="11"/>
        <v>0</v>
      </c>
      <c r="AK62" s="15">
        <f t="shared" si="12"/>
        <v>0</v>
      </c>
      <c r="AL62" s="15">
        <f t="shared" si="13"/>
        <v>0</v>
      </c>
      <c r="AN62" s="31">
        <v>21</v>
      </c>
      <c r="AO62" s="31">
        <f t="shared" si="14"/>
        <v>0</v>
      </c>
      <c r="AP62" s="31">
        <f t="shared" si="15"/>
        <v>0</v>
      </c>
      <c r="AQ62" s="26" t="s">
        <v>11</v>
      </c>
      <c r="AV62" s="31">
        <f t="shared" si="16"/>
        <v>0</v>
      </c>
      <c r="AW62" s="31">
        <f t="shared" si="17"/>
        <v>0</v>
      </c>
      <c r="AX62" s="31">
        <f t="shared" si="18"/>
        <v>0</v>
      </c>
      <c r="AY62" s="32" t="s">
        <v>504</v>
      </c>
      <c r="AZ62" s="32" t="s">
        <v>522</v>
      </c>
      <c r="BA62" s="25" t="s">
        <v>540</v>
      </c>
      <c r="BC62" s="31">
        <f t="shared" si="19"/>
        <v>0</v>
      </c>
      <c r="BD62" s="31">
        <f t="shared" si="20"/>
        <v>0</v>
      </c>
      <c r="BE62" s="31">
        <v>0</v>
      </c>
      <c r="BF62" s="31">
        <f>62</f>
        <v>62</v>
      </c>
      <c r="BH62" s="15">
        <f t="shared" si="21"/>
        <v>0</v>
      </c>
      <c r="BI62" s="15">
        <f t="shared" si="22"/>
        <v>0</v>
      </c>
      <c r="BJ62" s="15">
        <f t="shared" si="23"/>
        <v>0</v>
      </c>
    </row>
    <row r="63" spans="1:62" x14ac:dyDescent="0.2">
      <c r="A63" s="4" t="s">
        <v>39</v>
      </c>
      <c r="B63" s="4" t="s">
        <v>199</v>
      </c>
      <c r="C63" s="136" t="s">
        <v>340</v>
      </c>
      <c r="D63" s="137"/>
      <c r="E63" s="137"/>
      <c r="F63" s="4" t="s">
        <v>458</v>
      </c>
      <c r="G63" s="65">
        <v>5.0369999999999999</v>
      </c>
      <c r="H63" s="15">
        <v>0</v>
      </c>
      <c r="I63" s="15">
        <f t="shared" si="0"/>
        <v>0</v>
      </c>
      <c r="J63" s="15">
        <f t="shared" si="1"/>
        <v>0</v>
      </c>
      <c r="K63" s="15">
        <f t="shared" si="2"/>
        <v>0</v>
      </c>
      <c r="L63" s="26" t="s">
        <v>476</v>
      </c>
      <c r="Z63" s="31">
        <f t="shared" si="3"/>
        <v>0</v>
      </c>
      <c r="AB63" s="31">
        <f t="shared" si="4"/>
        <v>0</v>
      </c>
      <c r="AC63" s="31">
        <f t="shared" si="5"/>
        <v>0</v>
      </c>
      <c r="AD63" s="31">
        <f t="shared" si="6"/>
        <v>0</v>
      </c>
      <c r="AE63" s="31">
        <f t="shared" si="7"/>
        <v>0</v>
      </c>
      <c r="AF63" s="31">
        <f t="shared" si="8"/>
        <v>0</v>
      </c>
      <c r="AG63" s="31">
        <f t="shared" si="9"/>
        <v>0</v>
      </c>
      <c r="AH63" s="31">
        <f t="shared" si="10"/>
        <v>0</v>
      </c>
      <c r="AI63" s="25" t="s">
        <v>486</v>
      </c>
      <c r="AJ63" s="15">
        <f t="shared" si="11"/>
        <v>0</v>
      </c>
      <c r="AK63" s="15">
        <f t="shared" si="12"/>
        <v>0</v>
      </c>
      <c r="AL63" s="15">
        <f t="shared" si="13"/>
        <v>0</v>
      </c>
      <c r="AN63" s="31">
        <v>21</v>
      </c>
      <c r="AO63" s="31">
        <f t="shared" si="14"/>
        <v>0</v>
      </c>
      <c r="AP63" s="31">
        <f t="shared" si="15"/>
        <v>0</v>
      </c>
      <c r="AQ63" s="26" t="s">
        <v>11</v>
      </c>
      <c r="AV63" s="31">
        <f t="shared" si="16"/>
        <v>0</v>
      </c>
      <c r="AW63" s="31">
        <f t="shared" si="17"/>
        <v>0</v>
      </c>
      <c r="AX63" s="31">
        <f t="shared" si="18"/>
        <v>0</v>
      </c>
      <c r="AY63" s="32" t="s">
        <v>504</v>
      </c>
      <c r="AZ63" s="32" t="s">
        <v>522</v>
      </c>
      <c r="BA63" s="25" t="s">
        <v>540</v>
      </c>
      <c r="BC63" s="31">
        <f t="shared" si="19"/>
        <v>0</v>
      </c>
      <c r="BD63" s="31">
        <f t="shared" si="20"/>
        <v>0</v>
      </c>
      <c r="BE63" s="31">
        <v>0</v>
      </c>
      <c r="BF63" s="31">
        <f>63</f>
        <v>63</v>
      </c>
      <c r="BH63" s="15">
        <f t="shared" si="21"/>
        <v>0</v>
      </c>
      <c r="BI63" s="15">
        <f t="shared" si="22"/>
        <v>0</v>
      </c>
      <c r="BJ63" s="15">
        <f t="shared" si="23"/>
        <v>0</v>
      </c>
    </row>
    <row r="64" spans="1:62" x14ac:dyDescent="0.2">
      <c r="A64" s="4" t="s">
        <v>40</v>
      </c>
      <c r="B64" s="4" t="s">
        <v>200</v>
      </c>
      <c r="C64" s="136" t="s">
        <v>341</v>
      </c>
      <c r="D64" s="137"/>
      <c r="E64" s="137"/>
      <c r="F64" s="4" t="s">
        <v>458</v>
      </c>
      <c r="G64" s="65">
        <v>1.679</v>
      </c>
      <c r="H64" s="15">
        <v>0</v>
      </c>
      <c r="I64" s="15">
        <f t="shared" si="0"/>
        <v>0</v>
      </c>
      <c r="J64" s="15">
        <f t="shared" si="1"/>
        <v>0</v>
      </c>
      <c r="K64" s="15">
        <f t="shared" si="2"/>
        <v>0</v>
      </c>
      <c r="L64" s="26" t="s">
        <v>476</v>
      </c>
      <c r="Z64" s="31">
        <f t="shared" si="3"/>
        <v>0</v>
      </c>
      <c r="AB64" s="31">
        <f t="shared" si="4"/>
        <v>0</v>
      </c>
      <c r="AC64" s="31">
        <f t="shared" si="5"/>
        <v>0</v>
      </c>
      <c r="AD64" s="31">
        <f t="shared" si="6"/>
        <v>0</v>
      </c>
      <c r="AE64" s="31">
        <f t="shared" si="7"/>
        <v>0</v>
      </c>
      <c r="AF64" s="31">
        <f t="shared" si="8"/>
        <v>0</v>
      </c>
      <c r="AG64" s="31">
        <f t="shared" si="9"/>
        <v>0</v>
      </c>
      <c r="AH64" s="31">
        <f t="shared" si="10"/>
        <v>0</v>
      </c>
      <c r="AI64" s="25" t="s">
        <v>486</v>
      </c>
      <c r="AJ64" s="15">
        <f t="shared" si="11"/>
        <v>0</v>
      </c>
      <c r="AK64" s="15">
        <f t="shared" si="12"/>
        <v>0</v>
      </c>
      <c r="AL64" s="15">
        <f t="shared" si="13"/>
        <v>0</v>
      </c>
      <c r="AN64" s="31">
        <v>21</v>
      </c>
      <c r="AO64" s="31">
        <f t="shared" si="14"/>
        <v>0</v>
      </c>
      <c r="AP64" s="31">
        <f t="shared" si="15"/>
        <v>0</v>
      </c>
      <c r="AQ64" s="26" t="s">
        <v>11</v>
      </c>
      <c r="AV64" s="31">
        <f t="shared" si="16"/>
        <v>0</v>
      </c>
      <c r="AW64" s="31">
        <f t="shared" si="17"/>
        <v>0</v>
      </c>
      <c r="AX64" s="31">
        <f t="shared" si="18"/>
        <v>0</v>
      </c>
      <c r="AY64" s="32" t="s">
        <v>504</v>
      </c>
      <c r="AZ64" s="32" t="s">
        <v>522</v>
      </c>
      <c r="BA64" s="25" t="s">
        <v>540</v>
      </c>
      <c r="BC64" s="31">
        <f t="shared" si="19"/>
        <v>0</v>
      </c>
      <c r="BD64" s="31">
        <f t="shared" si="20"/>
        <v>0</v>
      </c>
      <c r="BE64" s="31">
        <v>0</v>
      </c>
      <c r="BF64" s="31">
        <f>64</f>
        <v>64</v>
      </c>
      <c r="BH64" s="15">
        <f t="shared" si="21"/>
        <v>0</v>
      </c>
      <c r="BI64" s="15">
        <f t="shared" si="22"/>
        <v>0</v>
      </c>
      <c r="BJ64" s="15">
        <f t="shared" si="23"/>
        <v>0</v>
      </c>
    </row>
    <row r="65" spans="1:62" x14ac:dyDescent="0.2">
      <c r="A65" s="4" t="s">
        <v>41</v>
      </c>
      <c r="B65" s="4" t="s">
        <v>201</v>
      </c>
      <c r="C65" s="136" t="s">
        <v>342</v>
      </c>
      <c r="D65" s="137"/>
      <c r="E65" s="137"/>
      <c r="F65" s="4" t="s">
        <v>458</v>
      </c>
      <c r="G65" s="65">
        <v>1.679</v>
      </c>
      <c r="H65" s="15">
        <v>0</v>
      </c>
      <c r="I65" s="15">
        <f t="shared" si="0"/>
        <v>0</v>
      </c>
      <c r="J65" s="15">
        <f t="shared" si="1"/>
        <v>0</v>
      </c>
      <c r="K65" s="15">
        <f t="shared" si="2"/>
        <v>0</v>
      </c>
      <c r="L65" s="26" t="s">
        <v>476</v>
      </c>
      <c r="Z65" s="31">
        <f t="shared" si="3"/>
        <v>0</v>
      </c>
      <c r="AB65" s="31">
        <f t="shared" si="4"/>
        <v>0</v>
      </c>
      <c r="AC65" s="31">
        <f t="shared" si="5"/>
        <v>0</v>
      </c>
      <c r="AD65" s="31">
        <f t="shared" si="6"/>
        <v>0</v>
      </c>
      <c r="AE65" s="31">
        <f t="shared" si="7"/>
        <v>0</v>
      </c>
      <c r="AF65" s="31">
        <f t="shared" si="8"/>
        <v>0</v>
      </c>
      <c r="AG65" s="31">
        <f t="shared" si="9"/>
        <v>0</v>
      </c>
      <c r="AH65" s="31">
        <f t="shared" si="10"/>
        <v>0</v>
      </c>
      <c r="AI65" s="25" t="s">
        <v>486</v>
      </c>
      <c r="AJ65" s="15">
        <f t="shared" si="11"/>
        <v>0</v>
      </c>
      <c r="AK65" s="15">
        <f t="shared" si="12"/>
        <v>0</v>
      </c>
      <c r="AL65" s="15">
        <f t="shared" si="13"/>
        <v>0</v>
      </c>
      <c r="AN65" s="31">
        <v>21</v>
      </c>
      <c r="AO65" s="31">
        <f t="shared" si="14"/>
        <v>0</v>
      </c>
      <c r="AP65" s="31">
        <f t="shared" si="15"/>
        <v>0</v>
      </c>
      <c r="AQ65" s="26" t="s">
        <v>11</v>
      </c>
      <c r="AV65" s="31">
        <f t="shared" si="16"/>
        <v>0</v>
      </c>
      <c r="AW65" s="31">
        <f t="shared" si="17"/>
        <v>0</v>
      </c>
      <c r="AX65" s="31">
        <f t="shared" si="18"/>
        <v>0</v>
      </c>
      <c r="AY65" s="32" t="s">
        <v>504</v>
      </c>
      <c r="AZ65" s="32" t="s">
        <v>522</v>
      </c>
      <c r="BA65" s="25" t="s">
        <v>540</v>
      </c>
      <c r="BC65" s="31">
        <f t="shared" si="19"/>
        <v>0</v>
      </c>
      <c r="BD65" s="31">
        <f t="shared" si="20"/>
        <v>0</v>
      </c>
      <c r="BE65" s="31">
        <v>0</v>
      </c>
      <c r="BF65" s="31">
        <f>65</f>
        <v>65</v>
      </c>
      <c r="BH65" s="15">
        <f t="shared" si="21"/>
        <v>0</v>
      </c>
      <c r="BI65" s="15">
        <f t="shared" si="22"/>
        <v>0</v>
      </c>
      <c r="BJ65" s="15">
        <f t="shared" si="23"/>
        <v>0</v>
      </c>
    </row>
    <row r="66" spans="1:62" x14ac:dyDescent="0.2">
      <c r="A66" s="3"/>
      <c r="B66" s="11" t="s">
        <v>202</v>
      </c>
      <c r="C66" s="134" t="s">
        <v>343</v>
      </c>
      <c r="D66" s="135"/>
      <c r="E66" s="135"/>
      <c r="F66" s="3" t="s">
        <v>6</v>
      </c>
      <c r="G66" s="3" t="s">
        <v>6</v>
      </c>
      <c r="H66" s="3" t="s">
        <v>6</v>
      </c>
      <c r="I66" s="33">
        <f>SUM(I67:I67)</f>
        <v>0</v>
      </c>
      <c r="J66" s="33">
        <f>SUM(J67:J67)</f>
        <v>0</v>
      </c>
      <c r="K66" s="33">
        <f>SUM(K67:K67)</f>
        <v>0</v>
      </c>
      <c r="L66" s="25"/>
      <c r="AI66" s="25" t="s">
        <v>486</v>
      </c>
      <c r="AS66" s="33">
        <f>SUM(AJ67:AJ67)</f>
        <v>0</v>
      </c>
      <c r="AT66" s="33">
        <f>SUM(AK67:AK67)</f>
        <v>0</v>
      </c>
      <c r="AU66" s="33">
        <f>SUM(AL67:AL67)</f>
        <v>0</v>
      </c>
    </row>
    <row r="67" spans="1:62" x14ac:dyDescent="0.2">
      <c r="A67" s="4" t="s">
        <v>42</v>
      </c>
      <c r="B67" s="4" t="s">
        <v>203</v>
      </c>
      <c r="C67" s="136" t="s">
        <v>344</v>
      </c>
      <c r="D67" s="137"/>
      <c r="E67" s="137"/>
      <c r="F67" s="4" t="s">
        <v>458</v>
      </c>
      <c r="G67" s="65">
        <v>35.402999999999999</v>
      </c>
      <c r="H67" s="15">
        <v>0</v>
      </c>
      <c r="I67" s="15">
        <f>G67*AO67</f>
        <v>0</v>
      </c>
      <c r="J67" s="15">
        <f>G67*AP67</f>
        <v>0</v>
      </c>
      <c r="K67" s="15">
        <f>G67*H67</f>
        <v>0</v>
      </c>
      <c r="L67" s="26" t="s">
        <v>476</v>
      </c>
      <c r="Z67" s="31">
        <f>IF(AQ67="5",BJ67,0)</f>
        <v>0</v>
      </c>
      <c r="AB67" s="31">
        <f>IF(AQ67="1",BH67,0)</f>
        <v>0</v>
      </c>
      <c r="AC67" s="31">
        <f>IF(AQ67="1",BI67,0)</f>
        <v>0</v>
      </c>
      <c r="AD67" s="31">
        <f>IF(AQ67="7",BH67,0)</f>
        <v>0</v>
      </c>
      <c r="AE67" s="31">
        <f>IF(AQ67="7",BI67,0)</f>
        <v>0</v>
      </c>
      <c r="AF67" s="31">
        <f>IF(AQ67="2",BH67,0)</f>
        <v>0</v>
      </c>
      <c r="AG67" s="31">
        <f>IF(AQ67="2",BI67,0)</f>
        <v>0</v>
      </c>
      <c r="AH67" s="31">
        <f>IF(AQ67="0",BJ67,0)</f>
        <v>0</v>
      </c>
      <c r="AI67" s="25" t="s">
        <v>486</v>
      </c>
      <c r="AJ67" s="15">
        <f>IF(AN67=0,K67,0)</f>
        <v>0</v>
      </c>
      <c r="AK67" s="15">
        <f>IF(AN67=15,K67,0)</f>
        <v>0</v>
      </c>
      <c r="AL67" s="15">
        <f>IF(AN67=21,K67,0)</f>
        <v>0</v>
      </c>
      <c r="AN67" s="31">
        <v>21</v>
      </c>
      <c r="AO67" s="31">
        <f>H67*0</f>
        <v>0</v>
      </c>
      <c r="AP67" s="31">
        <f>H67*(1-0)</f>
        <v>0</v>
      </c>
      <c r="AQ67" s="26" t="s">
        <v>11</v>
      </c>
      <c r="AV67" s="31">
        <f>AW67+AX67</f>
        <v>0</v>
      </c>
      <c r="AW67" s="31">
        <f>G67*AO67</f>
        <v>0</v>
      </c>
      <c r="AX67" s="31">
        <f>G67*AP67</f>
        <v>0</v>
      </c>
      <c r="AY67" s="32" t="s">
        <v>505</v>
      </c>
      <c r="AZ67" s="32" t="s">
        <v>522</v>
      </c>
      <c r="BA67" s="25" t="s">
        <v>540</v>
      </c>
      <c r="BC67" s="31">
        <f>AW67+AX67</f>
        <v>0</v>
      </c>
      <c r="BD67" s="31">
        <f>H67/(100-BE67)*100</f>
        <v>0</v>
      </c>
      <c r="BE67" s="31">
        <v>0</v>
      </c>
      <c r="BF67" s="31">
        <f>67</f>
        <v>67</v>
      </c>
      <c r="BH67" s="15">
        <f>G67*AO67</f>
        <v>0</v>
      </c>
      <c r="BI67" s="15">
        <f>G67*AP67</f>
        <v>0</v>
      </c>
      <c r="BJ67" s="15">
        <f>G67*H67</f>
        <v>0</v>
      </c>
    </row>
    <row r="68" spans="1:62" x14ac:dyDescent="0.2">
      <c r="A68" s="3"/>
      <c r="B68" s="11" t="s">
        <v>204</v>
      </c>
      <c r="C68" s="134" t="s">
        <v>345</v>
      </c>
      <c r="D68" s="135"/>
      <c r="E68" s="135"/>
      <c r="F68" s="3" t="s">
        <v>6</v>
      </c>
      <c r="G68" s="3" t="s">
        <v>6</v>
      </c>
      <c r="H68" s="3" t="s">
        <v>6</v>
      </c>
      <c r="I68" s="33">
        <f>SUM(I69:I71)</f>
        <v>0</v>
      </c>
      <c r="J68" s="33">
        <f>SUM(J69:J71)</f>
        <v>0</v>
      </c>
      <c r="K68" s="33">
        <f>SUM(K69:K71)</f>
        <v>0</v>
      </c>
      <c r="L68" s="25"/>
      <c r="AI68" s="25" t="s">
        <v>486</v>
      </c>
      <c r="AS68" s="33">
        <f>SUM(AJ69:AJ71)</f>
        <v>0</v>
      </c>
      <c r="AT68" s="33">
        <f>SUM(AK69:AK71)</f>
        <v>0</v>
      </c>
      <c r="AU68" s="33">
        <f>SUM(AL69:AL71)</f>
        <v>0</v>
      </c>
    </row>
    <row r="69" spans="1:62" x14ac:dyDescent="0.2">
      <c r="A69" s="4" t="s">
        <v>43</v>
      </c>
      <c r="B69" s="4" t="s">
        <v>205</v>
      </c>
      <c r="C69" s="136" t="s">
        <v>346</v>
      </c>
      <c r="D69" s="137"/>
      <c r="E69" s="137"/>
      <c r="F69" s="4" t="s">
        <v>459</v>
      </c>
      <c r="G69" s="65">
        <v>16.356999999999999</v>
      </c>
      <c r="H69" s="15">
        <v>0</v>
      </c>
      <c r="I69" s="15">
        <f>G69*AO69</f>
        <v>0</v>
      </c>
      <c r="J69" s="15">
        <f>G69*AP69</f>
        <v>0</v>
      </c>
      <c r="K69" s="15">
        <f>G69*H69</f>
        <v>0</v>
      </c>
      <c r="L69" s="26" t="s">
        <v>476</v>
      </c>
      <c r="Z69" s="31">
        <f>IF(AQ69="5",BJ69,0)</f>
        <v>0</v>
      </c>
      <c r="AB69" s="31">
        <f>IF(AQ69="1",BH69,0)</f>
        <v>0</v>
      </c>
      <c r="AC69" s="31">
        <f>IF(AQ69="1",BI69,0)</f>
        <v>0</v>
      </c>
      <c r="AD69" s="31">
        <f>IF(AQ69="7",BH69,0)</f>
        <v>0</v>
      </c>
      <c r="AE69" s="31">
        <f>IF(AQ69="7",BI69,0)</f>
        <v>0</v>
      </c>
      <c r="AF69" s="31">
        <f>IF(AQ69="2",BH69,0)</f>
        <v>0</v>
      </c>
      <c r="AG69" s="31">
        <f>IF(AQ69="2",BI69,0)</f>
        <v>0</v>
      </c>
      <c r="AH69" s="31">
        <f>IF(AQ69="0",BJ69,0)</f>
        <v>0</v>
      </c>
      <c r="AI69" s="25" t="s">
        <v>486</v>
      </c>
      <c r="AJ69" s="15">
        <f>IF(AN69=0,K69,0)</f>
        <v>0</v>
      </c>
      <c r="AK69" s="15">
        <f>IF(AN69=15,K69,0)</f>
        <v>0</v>
      </c>
      <c r="AL69" s="15">
        <f>IF(AN69=21,K69,0)</f>
        <v>0</v>
      </c>
      <c r="AN69" s="31">
        <v>21</v>
      </c>
      <c r="AO69" s="31">
        <f>H69*0.221296421566269</f>
        <v>0</v>
      </c>
      <c r="AP69" s="31">
        <f>H69*(1-0.221296421566269)</f>
        <v>0</v>
      </c>
      <c r="AQ69" s="26" t="s">
        <v>13</v>
      </c>
      <c r="AV69" s="31">
        <f>AW69+AX69</f>
        <v>0</v>
      </c>
      <c r="AW69" s="31">
        <f>G69*AO69</f>
        <v>0</v>
      </c>
      <c r="AX69" s="31">
        <f>G69*AP69</f>
        <v>0</v>
      </c>
      <c r="AY69" s="32" t="s">
        <v>506</v>
      </c>
      <c r="AZ69" s="32" t="s">
        <v>523</v>
      </c>
      <c r="BA69" s="25" t="s">
        <v>540</v>
      </c>
      <c r="BC69" s="31">
        <f>AW69+AX69</f>
        <v>0</v>
      </c>
      <c r="BD69" s="31">
        <f>H69/(100-BE69)*100</f>
        <v>0</v>
      </c>
      <c r="BE69" s="31">
        <v>0</v>
      </c>
      <c r="BF69" s="31">
        <f>69</f>
        <v>69</v>
      </c>
      <c r="BH69" s="15">
        <f>G69*AO69</f>
        <v>0</v>
      </c>
      <c r="BI69" s="15">
        <f>G69*AP69</f>
        <v>0</v>
      </c>
      <c r="BJ69" s="15">
        <f>G69*H69</f>
        <v>0</v>
      </c>
    </row>
    <row r="70" spans="1:62" x14ac:dyDescent="0.2">
      <c r="A70" s="5" t="s">
        <v>44</v>
      </c>
      <c r="B70" s="5" t="s">
        <v>206</v>
      </c>
      <c r="C70" s="151" t="s">
        <v>347</v>
      </c>
      <c r="D70" s="152"/>
      <c r="E70" s="152"/>
      <c r="F70" s="5" t="s">
        <v>459</v>
      </c>
      <c r="G70" s="68">
        <v>18.811</v>
      </c>
      <c r="H70" s="16">
        <v>0</v>
      </c>
      <c r="I70" s="16">
        <f>G70*AO70</f>
        <v>0</v>
      </c>
      <c r="J70" s="16">
        <f>G70*AP70</f>
        <v>0</v>
      </c>
      <c r="K70" s="16">
        <f>G70*H70</f>
        <v>0</v>
      </c>
      <c r="L70" s="27" t="s">
        <v>476</v>
      </c>
      <c r="Z70" s="31">
        <f>IF(AQ70="5",BJ70,0)</f>
        <v>0</v>
      </c>
      <c r="AB70" s="31">
        <f>IF(AQ70="1",BH70,0)</f>
        <v>0</v>
      </c>
      <c r="AC70" s="31">
        <f>IF(AQ70="1",BI70,0)</f>
        <v>0</v>
      </c>
      <c r="AD70" s="31">
        <f>IF(AQ70="7",BH70,0)</f>
        <v>0</v>
      </c>
      <c r="AE70" s="31">
        <f>IF(AQ70="7",BI70,0)</f>
        <v>0</v>
      </c>
      <c r="AF70" s="31">
        <f>IF(AQ70="2",BH70,0)</f>
        <v>0</v>
      </c>
      <c r="AG70" s="31">
        <f>IF(AQ70="2",BI70,0)</f>
        <v>0</v>
      </c>
      <c r="AH70" s="31">
        <f>IF(AQ70="0",BJ70,0)</f>
        <v>0</v>
      </c>
      <c r="AI70" s="25" t="s">
        <v>486</v>
      </c>
      <c r="AJ70" s="16">
        <f>IF(AN70=0,K70,0)</f>
        <v>0</v>
      </c>
      <c r="AK70" s="16">
        <f>IF(AN70=15,K70,0)</f>
        <v>0</v>
      </c>
      <c r="AL70" s="16">
        <f>IF(AN70=21,K70,0)</f>
        <v>0</v>
      </c>
      <c r="AN70" s="31">
        <v>21</v>
      </c>
      <c r="AO70" s="31">
        <f>H70*1</f>
        <v>0</v>
      </c>
      <c r="AP70" s="31">
        <f>H70*(1-1)</f>
        <v>0</v>
      </c>
      <c r="AQ70" s="27" t="s">
        <v>13</v>
      </c>
      <c r="AV70" s="31">
        <f>AW70+AX70</f>
        <v>0</v>
      </c>
      <c r="AW70" s="31">
        <f>G70*AO70</f>
        <v>0</v>
      </c>
      <c r="AX70" s="31">
        <f>G70*AP70</f>
        <v>0</v>
      </c>
      <c r="AY70" s="32" t="s">
        <v>506</v>
      </c>
      <c r="AZ70" s="32" t="s">
        <v>523</v>
      </c>
      <c r="BA70" s="25" t="s">
        <v>540</v>
      </c>
      <c r="BC70" s="31">
        <f>AW70+AX70</f>
        <v>0</v>
      </c>
      <c r="BD70" s="31">
        <f>H70/(100-BE70)*100</f>
        <v>0</v>
      </c>
      <c r="BE70" s="31">
        <v>0</v>
      </c>
      <c r="BF70" s="31">
        <f>70</f>
        <v>70</v>
      </c>
      <c r="BH70" s="16">
        <f>G70*AO70</f>
        <v>0</v>
      </c>
      <c r="BI70" s="16">
        <f>G70*AP70</f>
        <v>0</v>
      </c>
      <c r="BJ70" s="16">
        <f>G70*H70</f>
        <v>0</v>
      </c>
    </row>
    <row r="71" spans="1:62" x14ac:dyDescent="0.2">
      <c r="A71" s="4" t="s">
        <v>45</v>
      </c>
      <c r="B71" s="4" t="s">
        <v>207</v>
      </c>
      <c r="C71" s="136" t="s">
        <v>348</v>
      </c>
      <c r="D71" s="137"/>
      <c r="E71" s="137"/>
      <c r="F71" s="4" t="s">
        <v>458</v>
      </c>
      <c r="G71" s="65">
        <v>0.02</v>
      </c>
      <c r="H71" s="15">
        <v>0</v>
      </c>
      <c r="I71" s="15">
        <f>G71*AO71</f>
        <v>0</v>
      </c>
      <c r="J71" s="15">
        <f>G71*AP71</f>
        <v>0</v>
      </c>
      <c r="K71" s="15">
        <f>G71*H71</f>
        <v>0</v>
      </c>
      <c r="L71" s="26" t="s">
        <v>476</v>
      </c>
      <c r="Z71" s="31">
        <f>IF(AQ71="5",BJ71,0)</f>
        <v>0</v>
      </c>
      <c r="AB71" s="31">
        <f>IF(AQ71="1",BH71,0)</f>
        <v>0</v>
      </c>
      <c r="AC71" s="31">
        <f>IF(AQ71="1",BI71,0)</f>
        <v>0</v>
      </c>
      <c r="AD71" s="31">
        <f>IF(AQ71="7",BH71,0)</f>
        <v>0</v>
      </c>
      <c r="AE71" s="31">
        <f>IF(AQ71="7",BI71,0)</f>
        <v>0</v>
      </c>
      <c r="AF71" s="31">
        <f>IF(AQ71="2",BH71,0)</f>
        <v>0</v>
      </c>
      <c r="AG71" s="31">
        <f>IF(AQ71="2",BI71,0)</f>
        <v>0</v>
      </c>
      <c r="AH71" s="31">
        <f>IF(AQ71="0",BJ71,0)</f>
        <v>0</v>
      </c>
      <c r="AI71" s="25" t="s">
        <v>486</v>
      </c>
      <c r="AJ71" s="15">
        <f>IF(AN71=0,K71,0)</f>
        <v>0</v>
      </c>
      <c r="AK71" s="15">
        <f>IF(AN71=15,K71,0)</f>
        <v>0</v>
      </c>
      <c r="AL71" s="15">
        <f>IF(AN71=21,K71,0)</f>
        <v>0</v>
      </c>
      <c r="AN71" s="31">
        <v>21</v>
      </c>
      <c r="AO71" s="31">
        <f>H71*0</f>
        <v>0</v>
      </c>
      <c r="AP71" s="31">
        <f>H71*(1-0)</f>
        <v>0</v>
      </c>
      <c r="AQ71" s="26" t="s">
        <v>11</v>
      </c>
      <c r="AV71" s="31">
        <f>AW71+AX71</f>
        <v>0</v>
      </c>
      <c r="AW71" s="31">
        <f>G71*AO71</f>
        <v>0</v>
      </c>
      <c r="AX71" s="31">
        <f>G71*AP71</f>
        <v>0</v>
      </c>
      <c r="AY71" s="32" t="s">
        <v>506</v>
      </c>
      <c r="AZ71" s="32" t="s">
        <v>523</v>
      </c>
      <c r="BA71" s="25" t="s">
        <v>540</v>
      </c>
      <c r="BC71" s="31">
        <f>AW71+AX71</f>
        <v>0</v>
      </c>
      <c r="BD71" s="31">
        <f>H71/(100-BE71)*100</f>
        <v>0</v>
      </c>
      <c r="BE71" s="31">
        <v>0</v>
      </c>
      <c r="BF71" s="31">
        <f>71</f>
        <v>71</v>
      </c>
      <c r="BH71" s="15">
        <f>G71*AO71</f>
        <v>0</v>
      </c>
      <c r="BI71" s="15">
        <f>G71*AP71</f>
        <v>0</v>
      </c>
      <c r="BJ71" s="15">
        <f>G71*H71</f>
        <v>0</v>
      </c>
    </row>
    <row r="72" spans="1:62" x14ac:dyDescent="0.2">
      <c r="A72" s="3"/>
      <c r="B72" s="11" t="s">
        <v>208</v>
      </c>
      <c r="C72" s="134" t="s">
        <v>349</v>
      </c>
      <c r="D72" s="135"/>
      <c r="E72" s="135"/>
      <c r="F72" s="3" t="s">
        <v>6</v>
      </c>
      <c r="G72" s="3" t="s">
        <v>6</v>
      </c>
      <c r="H72" s="3" t="s">
        <v>6</v>
      </c>
      <c r="I72" s="33">
        <f>SUM(I73:I75)</f>
        <v>0</v>
      </c>
      <c r="J72" s="33">
        <f>SUM(J73:J75)</f>
        <v>0</v>
      </c>
      <c r="K72" s="33">
        <f>SUM(K73:K75)</f>
        <v>0</v>
      </c>
      <c r="L72" s="25"/>
      <c r="AI72" s="25" t="s">
        <v>486</v>
      </c>
      <c r="AS72" s="33">
        <f>SUM(AJ73:AJ75)</f>
        <v>0</v>
      </c>
      <c r="AT72" s="33">
        <f>SUM(AK73:AK75)</f>
        <v>0</v>
      </c>
      <c r="AU72" s="33">
        <f>SUM(AL73:AL75)</f>
        <v>0</v>
      </c>
    </row>
    <row r="73" spans="1:62" x14ac:dyDescent="0.2">
      <c r="A73" s="4" t="s">
        <v>46</v>
      </c>
      <c r="B73" s="4" t="s">
        <v>209</v>
      </c>
      <c r="C73" s="136" t="s">
        <v>350</v>
      </c>
      <c r="D73" s="137"/>
      <c r="E73" s="137"/>
      <c r="F73" s="4" t="s">
        <v>460</v>
      </c>
      <c r="G73" s="65">
        <v>31.7</v>
      </c>
      <c r="H73" s="15">
        <v>0</v>
      </c>
      <c r="I73" s="15">
        <f>G73*AO73</f>
        <v>0</v>
      </c>
      <c r="J73" s="15">
        <f>G73*AP73</f>
        <v>0</v>
      </c>
      <c r="K73" s="15">
        <f>G73*H73</f>
        <v>0</v>
      </c>
      <c r="L73" s="26" t="s">
        <v>476</v>
      </c>
      <c r="Z73" s="31">
        <f>IF(AQ73="5",BJ73,0)</f>
        <v>0</v>
      </c>
      <c r="AB73" s="31">
        <f>IF(AQ73="1",BH73,0)</f>
        <v>0</v>
      </c>
      <c r="AC73" s="31">
        <f>IF(AQ73="1",BI73,0)</f>
        <v>0</v>
      </c>
      <c r="AD73" s="31">
        <f>IF(AQ73="7",BH73,0)</f>
        <v>0</v>
      </c>
      <c r="AE73" s="31">
        <f>IF(AQ73="7",BI73,0)</f>
        <v>0</v>
      </c>
      <c r="AF73" s="31">
        <f>IF(AQ73="2",BH73,0)</f>
        <v>0</v>
      </c>
      <c r="AG73" s="31">
        <f>IF(AQ73="2",BI73,0)</f>
        <v>0</v>
      </c>
      <c r="AH73" s="31">
        <f>IF(AQ73="0",BJ73,0)</f>
        <v>0</v>
      </c>
      <c r="AI73" s="25" t="s">
        <v>486</v>
      </c>
      <c r="AJ73" s="15">
        <f>IF(AN73=0,K73,0)</f>
        <v>0</v>
      </c>
      <c r="AK73" s="15">
        <f>IF(AN73=15,K73,0)</f>
        <v>0</v>
      </c>
      <c r="AL73" s="15">
        <f>IF(AN73=21,K73,0)</f>
        <v>0</v>
      </c>
      <c r="AN73" s="31">
        <v>21</v>
      </c>
      <c r="AO73" s="31">
        <f>H73*0.434770797962649</f>
        <v>0</v>
      </c>
      <c r="AP73" s="31">
        <f>H73*(1-0.434770797962649)</f>
        <v>0</v>
      </c>
      <c r="AQ73" s="26" t="s">
        <v>13</v>
      </c>
      <c r="AV73" s="31">
        <f>AW73+AX73</f>
        <v>0</v>
      </c>
      <c r="AW73" s="31">
        <f>G73*AO73</f>
        <v>0</v>
      </c>
      <c r="AX73" s="31">
        <f>G73*AP73</f>
        <v>0</v>
      </c>
      <c r="AY73" s="32" t="s">
        <v>507</v>
      </c>
      <c r="AZ73" s="32" t="s">
        <v>524</v>
      </c>
      <c r="BA73" s="25" t="s">
        <v>540</v>
      </c>
      <c r="BC73" s="31">
        <f>AW73+AX73</f>
        <v>0</v>
      </c>
      <c r="BD73" s="31">
        <f>H73/(100-BE73)*100</f>
        <v>0</v>
      </c>
      <c r="BE73" s="31">
        <v>0</v>
      </c>
      <c r="BF73" s="31">
        <f>73</f>
        <v>73</v>
      </c>
      <c r="BH73" s="15">
        <f>G73*AO73</f>
        <v>0</v>
      </c>
      <c r="BI73" s="15">
        <f>G73*AP73</f>
        <v>0</v>
      </c>
      <c r="BJ73" s="15">
        <f>G73*H73</f>
        <v>0</v>
      </c>
    </row>
    <row r="74" spans="1:62" x14ac:dyDescent="0.2">
      <c r="A74" s="5" t="s">
        <v>47</v>
      </c>
      <c r="B74" s="5" t="s">
        <v>210</v>
      </c>
      <c r="C74" s="151" t="s">
        <v>351</v>
      </c>
      <c r="D74" s="152"/>
      <c r="E74" s="152"/>
      <c r="F74" s="5" t="s">
        <v>458</v>
      </c>
      <c r="G74" s="68">
        <v>8.7999999999999995E-2</v>
      </c>
      <c r="H74" s="16">
        <v>0</v>
      </c>
      <c r="I74" s="16">
        <f>G74*AO74</f>
        <v>0</v>
      </c>
      <c r="J74" s="16">
        <f>G74*AP74</f>
        <v>0</v>
      </c>
      <c r="K74" s="16">
        <f>G74*H74</f>
        <v>0</v>
      </c>
      <c r="L74" s="27" t="s">
        <v>476</v>
      </c>
      <c r="Z74" s="31">
        <f>IF(AQ74="5",BJ74,0)</f>
        <v>0</v>
      </c>
      <c r="AB74" s="31">
        <f>IF(AQ74="1",BH74,0)</f>
        <v>0</v>
      </c>
      <c r="AC74" s="31">
        <f>IF(AQ74="1",BI74,0)</f>
        <v>0</v>
      </c>
      <c r="AD74" s="31">
        <f>IF(AQ74="7",BH74,0)</f>
        <v>0</v>
      </c>
      <c r="AE74" s="31">
        <f>IF(AQ74="7",BI74,0)</f>
        <v>0</v>
      </c>
      <c r="AF74" s="31">
        <f>IF(AQ74="2",BH74,0)</f>
        <v>0</v>
      </c>
      <c r="AG74" s="31">
        <f>IF(AQ74="2",BI74,0)</f>
        <v>0</v>
      </c>
      <c r="AH74" s="31">
        <f>IF(AQ74="0",BJ74,0)</f>
        <v>0</v>
      </c>
      <c r="AI74" s="25" t="s">
        <v>486</v>
      </c>
      <c r="AJ74" s="16">
        <f>IF(AN74=0,K74,0)</f>
        <v>0</v>
      </c>
      <c r="AK74" s="16">
        <f>IF(AN74=15,K74,0)</f>
        <v>0</v>
      </c>
      <c r="AL74" s="16">
        <f>IF(AN74=21,K74,0)</f>
        <v>0</v>
      </c>
      <c r="AN74" s="31">
        <v>21</v>
      </c>
      <c r="AO74" s="31">
        <f>H74*1</f>
        <v>0</v>
      </c>
      <c r="AP74" s="31">
        <f>H74*(1-1)</f>
        <v>0</v>
      </c>
      <c r="AQ74" s="27" t="s">
        <v>13</v>
      </c>
      <c r="AV74" s="31">
        <f>AW74+AX74</f>
        <v>0</v>
      </c>
      <c r="AW74" s="31">
        <f>G74*AO74</f>
        <v>0</v>
      </c>
      <c r="AX74" s="31">
        <f>G74*AP74</f>
        <v>0</v>
      </c>
      <c r="AY74" s="32" t="s">
        <v>507</v>
      </c>
      <c r="AZ74" s="32" t="s">
        <v>524</v>
      </c>
      <c r="BA74" s="25" t="s">
        <v>540</v>
      </c>
      <c r="BC74" s="31">
        <f>AW74+AX74</f>
        <v>0</v>
      </c>
      <c r="BD74" s="31">
        <f>H74/(100-BE74)*100</f>
        <v>0</v>
      </c>
      <c r="BE74" s="31">
        <v>0</v>
      </c>
      <c r="BF74" s="31">
        <f>74</f>
        <v>74</v>
      </c>
      <c r="BH74" s="16">
        <f>G74*AO74</f>
        <v>0</v>
      </c>
      <c r="BI74" s="16">
        <f>G74*AP74</f>
        <v>0</v>
      </c>
      <c r="BJ74" s="16">
        <f>G74*H74</f>
        <v>0</v>
      </c>
    </row>
    <row r="75" spans="1:62" x14ac:dyDescent="0.2">
      <c r="A75" s="4" t="s">
        <v>48</v>
      </c>
      <c r="B75" s="4" t="s">
        <v>211</v>
      </c>
      <c r="C75" s="136" t="s">
        <v>352</v>
      </c>
      <c r="D75" s="137"/>
      <c r="E75" s="137"/>
      <c r="F75" s="4" t="s">
        <v>458</v>
      </c>
      <c r="G75" s="65">
        <v>0.126</v>
      </c>
      <c r="H75" s="15">
        <v>0</v>
      </c>
      <c r="I75" s="15">
        <f>G75*AO75</f>
        <v>0</v>
      </c>
      <c r="J75" s="15">
        <f>G75*AP75</f>
        <v>0</v>
      </c>
      <c r="K75" s="15">
        <f>G75*H75</f>
        <v>0</v>
      </c>
      <c r="L75" s="26" t="s">
        <v>476</v>
      </c>
      <c r="Z75" s="31">
        <f>IF(AQ75="5",BJ75,0)</f>
        <v>0</v>
      </c>
      <c r="AB75" s="31">
        <f>IF(AQ75="1",BH75,0)</f>
        <v>0</v>
      </c>
      <c r="AC75" s="31">
        <f>IF(AQ75="1",BI75,0)</f>
        <v>0</v>
      </c>
      <c r="AD75" s="31">
        <f>IF(AQ75="7",BH75,0)</f>
        <v>0</v>
      </c>
      <c r="AE75" s="31">
        <f>IF(AQ75="7",BI75,0)</f>
        <v>0</v>
      </c>
      <c r="AF75" s="31">
        <f>IF(AQ75="2",BH75,0)</f>
        <v>0</v>
      </c>
      <c r="AG75" s="31">
        <f>IF(AQ75="2",BI75,0)</f>
        <v>0</v>
      </c>
      <c r="AH75" s="31">
        <f>IF(AQ75="0",BJ75,0)</f>
        <v>0</v>
      </c>
      <c r="AI75" s="25" t="s">
        <v>486</v>
      </c>
      <c r="AJ75" s="15">
        <f>IF(AN75=0,K75,0)</f>
        <v>0</v>
      </c>
      <c r="AK75" s="15">
        <f>IF(AN75=15,K75,0)</f>
        <v>0</v>
      </c>
      <c r="AL75" s="15">
        <f>IF(AN75=21,K75,0)</f>
        <v>0</v>
      </c>
      <c r="AN75" s="31">
        <v>21</v>
      </c>
      <c r="AO75" s="31">
        <f>H75*0</f>
        <v>0</v>
      </c>
      <c r="AP75" s="31">
        <f>H75*(1-0)</f>
        <v>0</v>
      </c>
      <c r="AQ75" s="26" t="s">
        <v>11</v>
      </c>
      <c r="AV75" s="31">
        <f>AW75+AX75</f>
        <v>0</v>
      </c>
      <c r="AW75" s="31">
        <f>G75*AO75</f>
        <v>0</v>
      </c>
      <c r="AX75" s="31">
        <f>G75*AP75</f>
        <v>0</v>
      </c>
      <c r="AY75" s="32" t="s">
        <v>507</v>
      </c>
      <c r="AZ75" s="32" t="s">
        <v>524</v>
      </c>
      <c r="BA75" s="25" t="s">
        <v>540</v>
      </c>
      <c r="BC75" s="31">
        <f>AW75+AX75</f>
        <v>0</v>
      </c>
      <c r="BD75" s="31">
        <f>H75/(100-BE75)*100</f>
        <v>0</v>
      </c>
      <c r="BE75" s="31">
        <v>0</v>
      </c>
      <c r="BF75" s="31">
        <f>75</f>
        <v>75</v>
      </c>
      <c r="BH75" s="15">
        <f>G75*AO75</f>
        <v>0</v>
      </c>
      <c r="BI75" s="15">
        <f>G75*AP75</f>
        <v>0</v>
      </c>
      <c r="BJ75" s="15">
        <f>G75*H75</f>
        <v>0</v>
      </c>
    </row>
    <row r="76" spans="1:62" x14ac:dyDescent="0.2">
      <c r="A76" s="3"/>
      <c r="B76" s="11" t="s">
        <v>212</v>
      </c>
      <c r="C76" s="134" t="s">
        <v>353</v>
      </c>
      <c r="D76" s="135"/>
      <c r="E76" s="135"/>
      <c r="F76" s="3" t="s">
        <v>6</v>
      </c>
      <c r="G76" s="3" t="s">
        <v>6</v>
      </c>
      <c r="H76" s="3" t="s">
        <v>6</v>
      </c>
      <c r="I76" s="33">
        <f>SUM(I77:I83)</f>
        <v>0</v>
      </c>
      <c r="J76" s="33">
        <f>SUM(J77:J83)</f>
        <v>0</v>
      </c>
      <c r="K76" s="33">
        <f>SUM(K77:K83)</f>
        <v>0</v>
      </c>
      <c r="L76" s="25"/>
      <c r="AI76" s="25" t="s">
        <v>486</v>
      </c>
      <c r="AS76" s="33">
        <f>SUM(AJ77:AJ83)</f>
        <v>0</v>
      </c>
      <c r="AT76" s="33">
        <f>SUM(AK77:AK83)</f>
        <v>0</v>
      </c>
      <c r="AU76" s="33">
        <f>SUM(AL77:AL83)</f>
        <v>0</v>
      </c>
    </row>
    <row r="77" spans="1:62" x14ac:dyDescent="0.2">
      <c r="A77" s="4" t="s">
        <v>49</v>
      </c>
      <c r="B77" s="4" t="s">
        <v>213</v>
      </c>
      <c r="C77" s="136" t="s">
        <v>354</v>
      </c>
      <c r="D77" s="137"/>
      <c r="E77" s="137"/>
      <c r="F77" s="4" t="s">
        <v>459</v>
      </c>
      <c r="G77" s="65">
        <v>75.56</v>
      </c>
      <c r="H77" s="15">
        <v>0</v>
      </c>
      <c r="I77" s="15">
        <f t="shared" ref="I77:I83" si="24">G77*AO77</f>
        <v>0</v>
      </c>
      <c r="J77" s="15">
        <f t="shared" ref="J77:J83" si="25">G77*AP77</f>
        <v>0</v>
      </c>
      <c r="K77" s="15">
        <f t="shared" ref="K77:K83" si="26">G77*H77</f>
        <v>0</v>
      </c>
      <c r="L77" s="26" t="s">
        <v>476</v>
      </c>
      <c r="Z77" s="31">
        <f t="shared" ref="Z77:Z83" si="27">IF(AQ77="5",BJ77,0)</f>
        <v>0</v>
      </c>
      <c r="AB77" s="31">
        <f t="shared" ref="AB77:AB83" si="28">IF(AQ77="1",BH77,0)</f>
        <v>0</v>
      </c>
      <c r="AC77" s="31">
        <f t="shared" ref="AC77:AC83" si="29">IF(AQ77="1",BI77,0)</f>
        <v>0</v>
      </c>
      <c r="AD77" s="31">
        <f t="shared" ref="AD77:AD83" si="30">IF(AQ77="7",BH77,0)</f>
        <v>0</v>
      </c>
      <c r="AE77" s="31">
        <f t="shared" ref="AE77:AE83" si="31">IF(AQ77="7",BI77,0)</f>
        <v>0</v>
      </c>
      <c r="AF77" s="31">
        <f t="shared" ref="AF77:AF83" si="32">IF(AQ77="2",BH77,0)</f>
        <v>0</v>
      </c>
      <c r="AG77" s="31">
        <f t="shared" ref="AG77:AG83" si="33">IF(AQ77="2",BI77,0)</f>
        <v>0</v>
      </c>
      <c r="AH77" s="31">
        <f t="shared" ref="AH77:AH83" si="34">IF(AQ77="0",BJ77,0)</f>
        <v>0</v>
      </c>
      <c r="AI77" s="25" t="s">
        <v>486</v>
      </c>
      <c r="AJ77" s="15">
        <f t="shared" ref="AJ77:AJ83" si="35">IF(AN77=0,K77,0)</f>
        <v>0</v>
      </c>
      <c r="AK77" s="15">
        <f t="shared" ref="AK77:AK83" si="36">IF(AN77=15,K77,0)</f>
        <v>0</v>
      </c>
      <c r="AL77" s="15">
        <f t="shared" ref="AL77:AL83" si="37">IF(AN77=21,K77,0)</f>
        <v>0</v>
      </c>
      <c r="AN77" s="31">
        <v>21</v>
      </c>
      <c r="AO77" s="31">
        <f>H77*0</f>
        <v>0</v>
      </c>
      <c r="AP77" s="31">
        <f>H77*(1-0)</f>
        <v>0</v>
      </c>
      <c r="AQ77" s="26" t="s">
        <v>13</v>
      </c>
      <c r="AV77" s="31">
        <f t="shared" ref="AV77:AV83" si="38">AW77+AX77</f>
        <v>0</v>
      </c>
      <c r="AW77" s="31">
        <f t="shared" ref="AW77:AW83" si="39">G77*AO77</f>
        <v>0</v>
      </c>
      <c r="AX77" s="31">
        <f t="shared" ref="AX77:AX83" si="40">G77*AP77</f>
        <v>0</v>
      </c>
      <c r="AY77" s="32" t="s">
        <v>508</v>
      </c>
      <c r="AZ77" s="32" t="s">
        <v>525</v>
      </c>
      <c r="BA77" s="25" t="s">
        <v>540</v>
      </c>
      <c r="BC77" s="31">
        <f t="shared" ref="BC77:BC83" si="41">AW77+AX77</f>
        <v>0</v>
      </c>
      <c r="BD77" s="31">
        <f t="shared" ref="BD77:BD83" si="42">H77/(100-BE77)*100</f>
        <v>0</v>
      </c>
      <c r="BE77" s="31">
        <v>0</v>
      </c>
      <c r="BF77" s="31">
        <f>77</f>
        <v>77</v>
      </c>
      <c r="BH77" s="15">
        <f t="shared" ref="BH77:BH83" si="43">G77*AO77</f>
        <v>0</v>
      </c>
      <c r="BI77" s="15">
        <f t="shared" ref="BI77:BI83" si="44">G77*AP77</f>
        <v>0</v>
      </c>
      <c r="BJ77" s="15">
        <f t="shared" ref="BJ77:BJ83" si="45">G77*H77</f>
        <v>0</v>
      </c>
    </row>
    <row r="78" spans="1:62" x14ac:dyDescent="0.2">
      <c r="A78" s="4" t="s">
        <v>50</v>
      </c>
      <c r="B78" s="4" t="s">
        <v>214</v>
      </c>
      <c r="C78" s="136" t="s">
        <v>355</v>
      </c>
      <c r="D78" s="137"/>
      <c r="E78" s="137"/>
      <c r="F78" s="4" t="s">
        <v>459</v>
      </c>
      <c r="G78" s="65">
        <v>27.984999999999999</v>
      </c>
      <c r="H78" s="15">
        <v>0</v>
      </c>
      <c r="I78" s="15">
        <f t="shared" si="24"/>
        <v>0</v>
      </c>
      <c r="J78" s="15">
        <f t="shared" si="25"/>
        <v>0</v>
      </c>
      <c r="K78" s="15">
        <f t="shared" si="26"/>
        <v>0</v>
      </c>
      <c r="L78" s="26" t="s">
        <v>476</v>
      </c>
      <c r="Z78" s="31">
        <f t="shared" si="27"/>
        <v>0</v>
      </c>
      <c r="AB78" s="31">
        <f t="shared" si="28"/>
        <v>0</v>
      </c>
      <c r="AC78" s="31">
        <f t="shared" si="29"/>
        <v>0</v>
      </c>
      <c r="AD78" s="31">
        <f t="shared" si="30"/>
        <v>0</v>
      </c>
      <c r="AE78" s="31">
        <f t="shared" si="31"/>
        <v>0</v>
      </c>
      <c r="AF78" s="31">
        <f t="shared" si="32"/>
        <v>0</v>
      </c>
      <c r="AG78" s="31">
        <f t="shared" si="33"/>
        <v>0</v>
      </c>
      <c r="AH78" s="31">
        <f t="shared" si="34"/>
        <v>0</v>
      </c>
      <c r="AI78" s="25" t="s">
        <v>486</v>
      </c>
      <c r="AJ78" s="15">
        <f t="shared" si="35"/>
        <v>0</v>
      </c>
      <c r="AK78" s="15">
        <f t="shared" si="36"/>
        <v>0</v>
      </c>
      <c r="AL78" s="15">
        <f t="shared" si="37"/>
        <v>0</v>
      </c>
      <c r="AN78" s="31">
        <v>21</v>
      </c>
      <c r="AO78" s="31">
        <f>H78*0</f>
        <v>0</v>
      </c>
      <c r="AP78" s="31">
        <f>H78*(1-0)</f>
        <v>0</v>
      </c>
      <c r="AQ78" s="26" t="s">
        <v>13</v>
      </c>
      <c r="AV78" s="31">
        <f t="shared" si="38"/>
        <v>0</v>
      </c>
      <c r="AW78" s="31">
        <f t="shared" si="39"/>
        <v>0</v>
      </c>
      <c r="AX78" s="31">
        <f t="shared" si="40"/>
        <v>0</v>
      </c>
      <c r="AY78" s="32" t="s">
        <v>508</v>
      </c>
      <c r="AZ78" s="32" t="s">
        <v>525</v>
      </c>
      <c r="BA78" s="25" t="s">
        <v>540</v>
      </c>
      <c r="BC78" s="31">
        <f t="shared" si="41"/>
        <v>0</v>
      </c>
      <c r="BD78" s="31">
        <f t="shared" si="42"/>
        <v>0</v>
      </c>
      <c r="BE78" s="31">
        <v>0</v>
      </c>
      <c r="BF78" s="31">
        <f>78</f>
        <v>78</v>
      </c>
      <c r="BH78" s="15">
        <f t="shared" si="43"/>
        <v>0</v>
      </c>
      <c r="BI78" s="15">
        <f t="shared" si="44"/>
        <v>0</v>
      </c>
      <c r="BJ78" s="15">
        <f t="shared" si="45"/>
        <v>0</v>
      </c>
    </row>
    <row r="79" spans="1:62" x14ac:dyDescent="0.2">
      <c r="A79" s="4" t="s">
        <v>51</v>
      </c>
      <c r="B79" s="4" t="s">
        <v>215</v>
      </c>
      <c r="C79" s="136" t="s">
        <v>356</v>
      </c>
      <c r="D79" s="137"/>
      <c r="E79" s="137"/>
      <c r="F79" s="4" t="s">
        <v>459</v>
      </c>
      <c r="G79" s="65">
        <v>55.97</v>
      </c>
      <c r="H79" s="15">
        <v>0</v>
      </c>
      <c r="I79" s="15">
        <f t="shared" si="24"/>
        <v>0</v>
      </c>
      <c r="J79" s="15">
        <f t="shared" si="25"/>
        <v>0</v>
      </c>
      <c r="K79" s="15">
        <f t="shared" si="26"/>
        <v>0</v>
      </c>
      <c r="L79" s="26" t="s">
        <v>476</v>
      </c>
      <c r="Z79" s="31">
        <f t="shared" si="27"/>
        <v>0</v>
      </c>
      <c r="AB79" s="31">
        <f t="shared" si="28"/>
        <v>0</v>
      </c>
      <c r="AC79" s="31">
        <f t="shared" si="29"/>
        <v>0</v>
      </c>
      <c r="AD79" s="31">
        <f t="shared" si="30"/>
        <v>0</v>
      </c>
      <c r="AE79" s="31">
        <f t="shared" si="31"/>
        <v>0</v>
      </c>
      <c r="AF79" s="31">
        <f t="shared" si="32"/>
        <v>0</v>
      </c>
      <c r="AG79" s="31">
        <f t="shared" si="33"/>
        <v>0</v>
      </c>
      <c r="AH79" s="31">
        <f t="shared" si="34"/>
        <v>0</v>
      </c>
      <c r="AI79" s="25" t="s">
        <v>486</v>
      </c>
      <c r="AJ79" s="15">
        <f t="shared" si="35"/>
        <v>0</v>
      </c>
      <c r="AK79" s="15">
        <f t="shared" si="36"/>
        <v>0</v>
      </c>
      <c r="AL79" s="15">
        <f t="shared" si="37"/>
        <v>0</v>
      </c>
      <c r="AN79" s="31">
        <v>21</v>
      </c>
      <c r="AO79" s="31">
        <f>H79*0.59082170878076</f>
        <v>0</v>
      </c>
      <c r="AP79" s="31">
        <f>H79*(1-0.59082170878076)</f>
        <v>0</v>
      </c>
      <c r="AQ79" s="26" t="s">
        <v>13</v>
      </c>
      <c r="AV79" s="31">
        <f t="shared" si="38"/>
        <v>0</v>
      </c>
      <c r="AW79" s="31">
        <f t="shared" si="39"/>
        <v>0</v>
      </c>
      <c r="AX79" s="31">
        <f t="shared" si="40"/>
        <v>0</v>
      </c>
      <c r="AY79" s="32" t="s">
        <v>508</v>
      </c>
      <c r="AZ79" s="32" t="s">
        <v>525</v>
      </c>
      <c r="BA79" s="25" t="s">
        <v>540</v>
      </c>
      <c r="BC79" s="31">
        <f t="shared" si="41"/>
        <v>0</v>
      </c>
      <c r="BD79" s="31">
        <f t="shared" si="42"/>
        <v>0</v>
      </c>
      <c r="BE79" s="31">
        <v>0</v>
      </c>
      <c r="BF79" s="31">
        <f>79</f>
        <v>79</v>
      </c>
      <c r="BH79" s="15">
        <f t="shared" si="43"/>
        <v>0</v>
      </c>
      <c r="BI79" s="15">
        <f t="shared" si="44"/>
        <v>0</v>
      </c>
      <c r="BJ79" s="15">
        <f t="shared" si="45"/>
        <v>0</v>
      </c>
    </row>
    <row r="80" spans="1:62" x14ac:dyDescent="0.2">
      <c r="A80" s="4" t="s">
        <v>52</v>
      </c>
      <c r="B80" s="4" t="s">
        <v>216</v>
      </c>
      <c r="C80" s="136" t="s">
        <v>357</v>
      </c>
      <c r="D80" s="137"/>
      <c r="E80" s="137"/>
      <c r="F80" s="4" t="s">
        <v>459</v>
      </c>
      <c r="G80" s="65">
        <v>103.545</v>
      </c>
      <c r="H80" s="15">
        <v>0</v>
      </c>
      <c r="I80" s="15">
        <f t="shared" si="24"/>
        <v>0</v>
      </c>
      <c r="J80" s="15">
        <f t="shared" si="25"/>
        <v>0</v>
      </c>
      <c r="K80" s="15">
        <f t="shared" si="26"/>
        <v>0</v>
      </c>
      <c r="L80" s="26" t="s">
        <v>476</v>
      </c>
      <c r="Z80" s="31">
        <f t="shared" si="27"/>
        <v>0</v>
      </c>
      <c r="AB80" s="31">
        <f t="shared" si="28"/>
        <v>0</v>
      </c>
      <c r="AC80" s="31">
        <f t="shared" si="29"/>
        <v>0</v>
      </c>
      <c r="AD80" s="31">
        <f t="shared" si="30"/>
        <v>0</v>
      </c>
      <c r="AE80" s="31">
        <f t="shared" si="31"/>
        <v>0</v>
      </c>
      <c r="AF80" s="31">
        <f t="shared" si="32"/>
        <v>0</v>
      </c>
      <c r="AG80" s="31">
        <f t="shared" si="33"/>
        <v>0</v>
      </c>
      <c r="AH80" s="31">
        <f t="shared" si="34"/>
        <v>0</v>
      </c>
      <c r="AI80" s="25" t="s">
        <v>486</v>
      </c>
      <c r="AJ80" s="15">
        <f t="shared" si="35"/>
        <v>0</v>
      </c>
      <c r="AK80" s="15">
        <f t="shared" si="36"/>
        <v>0</v>
      </c>
      <c r="AL80" s="15">
        <f t="shared" si="37"/>
        <v>0</v>
      </c>
      <c r="AN80" s="31">
        <v>21</v>
      </c>
      <c r="AO80" s="31">
        <f>H80*0.400745691006519</f>
        <v>0</v>
      </c>
      <c r="AP80" s="31">
        <f>H80*(1-0.400745691006519)</f>
        <v>0</v>
      </c>
      <c r="AQ80" s="26" t="s">
        <v>13</v>
      </c>
      <c r="AV80" s="31">
        <f t="shared" si="38"/>
        <v>0</v>
      </c>
      <c r="AW80" s="31">
        <f t="shared" si="39"/>
        <v>0</v>
      </c>
      <c r="AX80" s="31">
        <f t="shared" si="40"/>
        <v>0</v>
      </c>
      <c r="AY80" s="32" t="s">
        <v>508</v>
      </c>
      <c r="AZ80" s="32" t="s">
        <v>525</v>
      </c>
      <c r="BA80" s="25" t="s">
        <v>540</v>
      </c>
      <c r="BC80" s="31">
        <f t="shared" si="41"/>
        <v>0</v>
      </c>
      <c r="BD80" s="31">
        <f t="shared" si="42"/>
        <v>0</v>
      </c>
      <c r="BE80" s="31">
        <v>0</v>
      </c>
      <c r="BF80" s="31">
        <f>80</f>
        <v>80</v>
      </c>
      <c r="BH80" s="15">
        <f t="shared" si="43"/>
        <v>0</v>
      </c>
      <c r="BI80" s="15">
        <f t="shared" si="44"/>
        <v>0</v>
      </c>
      <c r="BJ80" s="15">
        <f t="shared" si="45"/>
        <v>0</v>
      </c>
    </row>
    <row r="81" spans="1:62" x14ac:dyDescent="0.2">
      <c r="A81" s="4" t="s">
        <v>53</v>
      </c>
      <c r="B81" s="4" t="s">
        <v>217</v>
      </c>
      <c r="C81" s="136" t="s">
        <v>358</v>
      </c>
      <c r="D81" s="137"/>
      <c r="E81" s="137"/>
      <c r="F81" s="4" t="s">
        <v>459</v>
      </c>
      <c r="G81" s="65">
        <v>103.545</v>
      </c>
      <c r="H81" s="15">
        <v>0</v>
      </c>
      <c r="I81" s="15">
        <f t="shared" si="24"/>
        <v>0</v>
      </c>
      <c r="J81" s="15">
        <f t="shared" si="25"/>
        <v>0</v>
      </c>
      <c r="K81" s="15">
        <f t="shared" si="26"/>
        <v>0</v>
      </c>
      <c r="L81" s="26" t="s">
        <v>476</v>
      </c>
      <c r="Z81" s="31">
        <f t="shared" si="27"/>
        <v>0</v>
      </c>
      <c r="AB81" s="31">
        <f t="shared" si="28"/>
        <v>0</v>
      </c>
      <c r="AC81" s="31">
        <f t="shared" si="29"/>
        <v>0</v>
      </c>
      <c r="AD81" s="31">
        <f t="shared" si="30"/>
        <v>0</v>
      </c>
      <c r="AE81" s="31">
        <f t="shared" si="31"/>
        <v>0</v>
      </c>
      <c r="AF81" s="31">
        <f t="shared" si="32"/>
        <v>0</v>
      </c>
      <c r="AG81" s="31">
        <f t="shared" si="33"/>
        <v>0</v>
      </c>
      <c r="AH81" s="31">
        <f t="shared" si="34"/>
        <v>0</v>
      </c>
      <c r="AI81" s="25" t="s">
        <v>486</v>
      </c>
      <c r="AJ81" s="15">
        <f t="shared" si="35"/>
        <v>0</v>
      </c>
      <c r="AK81" s="15">
        <f t="shared" si="36"/>
        <v>0</v>
      </c>
      <c r="AL81" s="15">
        <f t="shared" si="37"/>
        <v>0</v>
      </c>
      <c r="AN81" s="31">
        <v>21</v>
      </c>
      <c r="AO81" s="31">
        <f>H81*0.302946386703486</f>
        <v>0</v>
      </c>
      <c r="AP81" s="31">
        <f>H81*(1-0.302946386703486)</f>
        <v>0</v>
      </c>
      <c r="AQ81" s="26" t="s">
        <v>13</v>
      </c>
      <c r="AV81" s="31">
        <f t="shared" si="38"/>
        <v>0</v>
      </c>
      <c r="AW81" s="31">
        <f t="shared" si="39"/>
        <v>0</v>
      </c>
      <c r="AX81" s="31">
        <f t="shared" si="40"/>
        <v>0</v>
      </c>
      <c r="AY81" s="32" t="s">
        <v>508</v>
      </c>
      <c r="AZ81" s="32" t="s">
        <v>525</v>
      </c>
      <c r="BA81" s="25" t="s">
        <v>540</v>
      </c>
      <c r="BC81" s="31">
        <f t="shared" si="41"/>
        <v>0</v>
      </c>
      <c r="BD81" s="31">
        <f t="shared" si="42"/>
        <v>0</v>
      </c>
      <c r="BE81" s="31">
        <v>0</v>
      </c>
      <c r="BF81" s="31">
        <f>81</f>
        <v>81</v>
      </c>
      <c r="BH81" s="15">
        <f t="shared" si="43"/>
        <v>0</v>
      </c>
      <c r="BI81" s="15">
        <f t="shared" si="44"/>
        <v>0</v>
      </c>
      <c r="BJ81" s="15">
        <f t="shared" si="45"/>
        <v>0</v>
      </c>
    </row>
    <row r="82" spans="1:62" x14ac:dyDescent="0.2">
      <c r="A82" s="4" t="s">
        <v>54</v>
      </c>
      <c r="B82" s="4" t="s">
        <v>218</v>
      </c>
      <c r="C82" s="136" t="s">
        <v>359</v>
      </c>
      <c r="D82" s="137"/>
      <c r="E82" s="137"/>
      <c r="F82" s="4" t="s">
        <v>459</v>
      </c>
      <c r="G82" s="65">
        <v>75.56</v>
      </c>
      <c r="H82" s="15">
        <v>0</v>
      </c>
      <c r="I82" s="15">
        <f t="shared" si="24"/>
        <v>0</v>
      </c>
      <c r="J82" s="15">
        <f t="shared" si="25"/>
        <v>0</v>
      </c>
      <c r="K82" s="15">
        <f t="shared" si="26"/>
        <v>0</v>
      </c>
      <c r="L82" s="26" t="s">
        <v>476</v>
      </c>
      <c r="Z82" s="31">
        <f t="shared" si="27"/>
        <v>0</v>
      </c>
      <c r="AB82" s="31">
        <f t="shared" si="28"/>
        <v>0</v>
      </c>
      <c r="AC82" s="31">
        <f t="shared" si="29"/>
        <v>0</v>
      </c>
      <c r="AD82" s="31">
        <f t="shared" si="30"/>
        <v>0</v>
      </c>
      <c r="AE82" s="31">
        <f t="shared" si="31"/>
        <v>0</v>
      </c>
      <c r="AF82" s="31">
        <f t="shared" si="32"/>
        <v>0</v>
      </c>
      <c r="AG82" s="31">
        <f t="shared" si="33"/>
        <v>0</v>
      </c>
      <c r="AH82" s="31">
        <f t="shared" si="34"/>
        <v>0</v>
      </c>
      <c r="AI82" s="25" t="s">
        <v>486</v>
      </c>
      <c r="AJ82" s="15">
        <f t="shared" si="35"/>
        <v>0</v>
      </c>
      <c r="AK82" s="15">
        <f t="shared" si="36"/>
        <v>0</v>
      </c>
      <c r="AL82" s="15">
        <f t="shared" si="37"/>
        <v>0</v>
      </c>
      <c r="AN82" s="31">
        <v>21</v>
      </c>
      <c r="AO82" s="31">
        <f>H82*0.00269461504933233</f>
        <v>0</v>
      </c>
      <c r="AP82" s="31">
        <f>H82*(1-0.00269461504933233)</f>
        <v>0</v>
      </c>
      <c r="AQ82" s="26" t="s">
        <v>13</v>
      </c>
      <c r="AV82" s="31">
        <f t="shared" si="38"/>
        <v>0</v>
      </c>
      <c r="AW82" s="31">
        <f t="shared" si="39"/>
        <v>0</v>
      </c>
      <c r="AX82" s="31">
        <f t="shared" si="40"/>
        <v>0</v>
      </c>
      <c r="AY82" s="32" t="s">
        <v>508</v>
      </c>
      <c r="AZ82" s="32" t="s">
        <v>525</v>
      </c>
      <c r="BA82" s="25" t="s">
        <v>540</v>
      </c>
      <c r="BC82" s="31">
        <f t="shared" si="41"/>
        <v>0</v>
      </c>
      <c r="BD82" s="31">
        <f t="shared" si="42"/>
        <v>0</v>
      </c>
      <c r="BE82" s="31">
        <v>0</v>
      </c>
      <c r="BF82" s="31">
        <f>82</f>
        <v>82</v>
      </c>
      <c r="BH82" s="15">
        <f t="shared" si="43"/>
        <v>0</v>
      </c>
      <c r="BI82" s="15">
        <f t="shared" si="44"/>
        <v>0</v>
      </c>
      <c r="BJ82" s="15">
        <f t="shared" si="45"/>
        <v>0</v>
      </c>
    </row>
    <row r="83" spans="1:62" x14ac:dyDescent="0.2">
      <c r="A83" s="4" t="s">
        <v>55</v>
      </c>
      <c r="B83" s="4" t="s">
        <v>219</v>
      </c>
      <c r="C83" s="136" t="s">
        <v>360</v>
      </c>
      <c r="D83" s="137"/>
      <c r="E83" s="137"/>
      <c r="F83" s="4" t="s">
        <v>459</v>
      </c>
      <c r="G83" s="65">
        <v>75.56</v>
      </c>
      <c r="H83" s="15">
        <v>0</v>
      </c>
      <c r="I83" s="15">
        <f t="shared" si="24"/>
        <v>0</v>
      </c>
      <c r="J83" s="15">
        <f t="shared" si="25"/>
        <v>0</v>
      </c>
      <c r="K83" s="15">
        <f t="shared" si="26"/>
        <v>0</v>
      </c>
      <c r="L83" s="26" t="s">
        <v>476</v>
      </c>
      <c r="Z83" s="31">
        <f t="shared" si="27"/>
        <v>0</v>
      </c>
      <c r="AB83" s="31">
        <f t="shared" si="28"/>
        <v>0</v>
      </c>
      <c r="AC83" s="31">
        <f t="shared" si="29"/>
        <v>0</v>
      </c>
      <c r="AD83" s="31">
        <f t="shared" si="30"/>
        <v>0</v>
      </c>
      <c r="AE83" s="31">
        <f t="shared" si="31"/>
        <v>0</v>
      </c>
      <c r="AF83" s="31">
        <f t="shared" si="32"/>
        <v>0</v>
      </c>
      <c r="AG83" s="31">
        <f t="shared" si="33"/>
        <v>0</v>
      </c>
      <c r="AH83" s="31">
        <f t="shared" si="34"/>
        <v>0</v>
      </c>
      <c r="AI83" s="25" t="s">
        <v>486</v>
      </c>
      <c r="AJ83" s="15">
        <f t="shared" si="35"/>
        <v>0</v>
      </c>
      <c r="AK83" s="15">
        <f t="shared" si="36"/>
        <v>0</v>
      </c>
      <c r="AL83" s="15">
        <f t="shared" si="37"/>
        <v>0</v>
      </c>
      <c r="AN83" s="31">
        <v>21</v>
      </c>
      <c r="AO83" s="31">
        <f>H83*0.0634330864197531</f>
        <v>0</v>
      </c>
      <c r="AP83" s="31">
        <f>H83*(1-0.0634330864197531)</f>
        <v>0</v>
      </c>
      <c r="AQ83" s="26" t="s">
        <v>13</v>
      </c>
      <c r="AV83" s="31">
        <f t="shared" si="38"/>
        <v>0</v>
      </c>
      <c r="AW83" s="31">
        <f t="shared" si="39"/>
        <v>0</v>
      </c>
      <c r="AX83" s="31">
        <f t="shared" si="40"/>
        <v>0</v>
      </c>
      <c r="AY83" s="32" t="s">
        <v>508</v>
      </c>
      <c r="AZ83" s="32" t="s">
        <v>525</v>
      </c>
      <c r="BA83" s="25" t="s">
        <v>540</v>
      </c>
      <c r="BC83" s="31">
        <f t="shared" si="41"/>
        <v>0</v>
      </c>
      <c r="BD83" s="31">
        <f t="shared" si="42"/>
        <v>0</v>
      </c>
      <c r="BE83" s="31">
        <v>0</v>
      </c>
      <c r="BF83" s="31">
        <f>83</f>
        <v>83</v>
      </c>
      <c r="BH83" s="15">
        <f t="shared" si="43"/>
        <v>0</v>
      </c>
      <c r="BI83" s="15">
        <f t="shared" si="44"/>
        <v>0</v>
      </c>
      <c r="BJ83" s="15">
        <f t="shared" si="45"/>
        <v>0</v>
      </c>
    </row>
    <row r="84" spans="1:62" x14ac:dyDescent="0.2">
      <c r="A84" s="75"/>
      <c r="B84" s="76"/>
      <c r="C84" s="153" t="s">
        <v>361</v>
      </c>
      <c r="D84" s="154"/>
      <c r="E84" s="154"/>
      <c r="F84" s="75" t="s">
        <v>6</v>
      </c>
      <c r="G84" s="75" t="s">
        <v>6</v>
      </c>
      <c r="H84" s="75" t="s">
        <v>6</v>
      </c>
      <c r="I84" s="77">
        <f>I85+I88+I90+I95+I98+I106+I114+I116+I118+I122+I128+I133+I136+I142+I147+I159+I161+I165+I176</f>
        <v>0</v>
      </c>
      <c r="J84" s="77">
        <f>J85+J88+J90+J95+J98+J106+J114+J116+J118+J122+J128+J133+J136+J142+J147+J159+J161+J165+J176</f>
        <v>0</v>
      </c>
      <c r="K84" s="77">
        <f>K85+K88+K90+K95+K98+K106+K114+K116+K118+K122+K128+K133+K136+K142+K147+K159+K161+K165+K176</f>
        <v>0</v>
      </c>
      <c r="L84" s="78"/>
    </row>
    <row r="85" spans="1:62" x14ac:dyDescent="0.2">
      <c r="A85" s="3"/>
      <c r="B85" s="11" t="s">
        <v>17</v>
      </c>
      <c r="C85" s="134" t="s">
        <v>290</v>
      </c>
      <c r="D85" s="135"/>
      <c r="E85" s="135"/>
      <c r="F85" s="3" t="s">
        <v>6</v>
      </c>
      <c r="G85" s="3" t="s">
        <v>6</v>
      </c>
      <c r="H85" s="3" t="s">
        <v>6</v>
      </c>
      <c r="I85" s="33">
        <f>SUM(I86:I87)</f>
        <v>0</v>
      </c>
      <c r="J85" s="33">
        <f>SUM(J86:J87)</f>
        <v>0</v>
      </c>
      <c r="K85" s="33">
        <f>SUM(K86:K87)</f>
        <v>0</v>
      </c>
      <c r="L85" s="25"/>
      <c r="AI85" s="25" t="s">
        <v>487</v>
      </c>
      <c r="AS85" s="33">
        <f>SUM(AJ86:AJ87)</f>
        <v>0</v>
      </c>
      <c r="AT85" s="33">
        <f>SUM(AK86:AK87)</f>
        <v>0</v>
      </c>
      <c r="AU85" s="33">
        <f>SUM(AL86:AL87)</f>
        <v>0</v>
      </c>
    </row>
    <row r="86" spans="1:62" x14ac:dyDescent="0.2">
      <c r="A86" s="4" t="s">
        <v>56</v>
      </c>
      <c r="B86" s="4" t="s">
        <v>220</v>
      </c>
      <c r="C86" s="136" t="s">
        <v>362</v>
      </c>
      <c r="D86" s="137"/>
      <c r="E86" s="137"/>
      <c r="F86" s="4" t="s">
        <v>459</v>
      </c>
      <c r="G86" s="65">
        <v>57.837000000000003</v>
      </c>
      <c r="H86" s="15">
        <v>0</v>
      </c>
      <c r="I86" s="15">
        <f>G86*AO86</f>
        <v>0</v>
      </c>
      <c r="J86" s="15">
        <f>G86*AP86</f>
        <v>0</v>
      </c>
      <c r="K86" s="15">
        <f>G86*H86</f>
        <v>0</v>
      </c>
      <c r="L86" s="26" t="s">
        <v>476</v>
      </c>
      <c r="Z86" s="31">
        <f>IF(AQ86="5",BJ86,0)</f>
        <v>0</v>
      </c>
      <c r="AB86" s="31">
        <f>IF(AQ86="1",BH86,0)</f>
        <v>0</v>
      </c>
      <c r="AC86" s="31">
        <f>IF(AQ86="1",BI86,0)</f>
        <v>0</v>
      </c>
      <c r="AD86" s="31">
        <f>IF(AQ86="7",BH86,0)</f>
        <v>0</v>
      </c>
      <c r="AE86" s="31">
        <f>IF(AQ86="7",BI86,0)</f>
        <v>0</v>
      </c>
      <c r="AF86" s="31">
        <f>IF(AQ86="2",BH86,0)</f>
        <v>0</v>
      </c>
      <c r="AG86" s="31">
        <f>IF(AQ86="2",BI86,0)</f>
        <v>0</v>
      </c>
      <c r="AH86" s="31">
        <f>IF(AQ86="0",BJ86,0)</f>
        <v>0</v>
      </c>
      <c r="AI86" s="25" t="s">
        <v>487</v>
      </c>
      <c r="AJ86" s="15">
        <f>IF(AN86=0,K86,0)</f>
        <v>0</v>
      </c>
      <c r="AK86" s="15">
        <f>IF(AN86=15,K86,0)</f>
        <v>0</v>
      </c>
      <c r="AL86" s="15">
        <f>IF(AN86=21,K86,0)</f>
        <v>0</v>
      </c>
      <c r="AN86" s="31">
        <v>21</v>
      </c>
      <c r="AO86" s="31">
        <f>H86*0</f>
        <v>0</v>
      </c>
      <c r="AP86" s="31">
        <f>H86*(1-0)</f>
        <v>0</v>
      </c>
      <c r="AQ86" s="26" t="s">
        <v>7</v>
      </c>
      <c r="AV86" s="31">
        <f>AW86+AX86</f>
        <v>0</v>
      </c>
      <c r="AW86" s="31">
        <f>G86*AO86</f>
        <v>0</v>
      </c>
      <c r="AX86" s="31">
        <f>G86*AP86</f>
        <v>0</v>
      </c>
      <c r="AY86" s="32" t="s">
        <v>489</v>
      </c>
      <c r="AZ86" s="32" t="s">
        <v>526</v>
      </c>
      <c r="BA86" s="25" t="s">
        <v>541</v>
      </c>
      <c r="BC86" s="31">
        <f>AW86+AX86</f>
        <v>0</v>
      </c>
      <c r="BD86" s="31">
        <f>H86/(100-BE86)*100</f>
        <v>0</v>
      </c>
      <c r="BE86" s="31">
        <v>0</v>
      </c>
      <c r="BF86" s="31">
        <f>86</f>
        <v>86</v>
      </c>
      <c r="BH86" s="15">
        <f>G86*AO86</f>
        <v>0</v>
      </c>
      <c r="BI86" s="15">
        <f>G86*AP86</f>
        <v>0</v>
      </c>
      <c r="BJ86" s="15">
        <f>G86*H86</f>
        <v>0</v>
      </c>
    </row>
    <row r="87" spans="1:62" x14ac:dyDescent="0.2">
      <c r="A87" s="4" t="s">
        <v>57</v>
      </c>
      <c r="B87" s="4" t="s">
        <v>221</v>
      </c>
      <c r="C87" s="136" t="s">
        <v>363</v>
      </c>
      <c r="D87" s="137"/>
      <c r="E87" s="137"/>
      <c r="F87" s="4" t="s">
        <v>459</v>
      </c>
      <c r="G87" s="65">
        <v>11.048</v>
      </c>
      <c r="H87" s="15">
        <v>0</v>
      </c>
      <c r="I87" s="15">
        <f>G87*AO87</f>
        <v>0</v>
      </c>
      <c r="J87" s="15">
        <f>G87*AP87</f>
        <v>0</v>
      </c>
      <c r="K87" s="15">
        <f>G87*H87</f>
        <v>0</v>
      </c>
      <c r="L87" s="26" t="s">
        <v>476</v>
      </c>
      <c r="Z87" s="31">
        <f>IF(AQ87="5",BJ87,0)</f>
        <v>0</v>
      </c>
      <c r="AB87" s="31">
        <f>IF(AQ87="1",BH87,0)</f>
        <v>0</v>
      </c>
      <c r="AC87" s="31">
        <f>IF(AQ87="1",BI87,0)</f>
        <v>0</v>
      </c>
      <c r="AD87" s="31">
        <f>IF(AQ87="7",BH87,0)</f>
        <v>0</v>
      </c>
      <c r="AE87" s="31">
        <f>IF(AQ87="7",BI87,0)</f>
        <v>0</v>
      </c>
      <c r="AF87" s="31">
        <f>IF(AQ87="2",BH87,0)</f>
        <v>0</v>
      </c>
      <c r="AG87" s="31">
        <f>IF(AQ87="2",BI87,0)</f>
        <v>0</v>
      </c>
      <c r="AH87" s="31">
        <f>IF(AQ87="0",BJ87,0)</f>
        <v>0</v>
      </c>
      <c r="AI87" s="25" t="s">
        <v>487</v>
      </c>
      <c r="AJ87" s="15">
        <f>IF(AN87=0,K87,0)</f>
        <v>0</v>
      </c>
      <c r="AK87" s="15">
        <f>IF(AN87=15,K87,0)</f>
        <v>0</v>
      </c>
      <c r="AL87" s="15">
        <f>IF(AN87=21,K87,0)</f>
        <v>0</v>
      </c>
      <c r="AN87" s="31">
        <v>21</v>
      </c>
      <c r="AO87" s="31">
        <f>H87*0</f>
        <v>0</v>
      </c>
      <c r="AP87" s="31">
        <f>H87*(1-0)</f>
        <v>0</v>
      </c>
      <c r="AQ87" s="26" t="s">
        <v>7</v>
      </c>
      <c r="AV87" s="31">
        <f>AW87+AX87</f>
        <v>0</v>
      </c>
      <c r="AW87" s="31">
        <f>G87*AO87</f>
        <v>0</v>
      </c>
      <c r="AX87" s="31">
        <f>G87*AP87</f>
        <v>0</v>
      </c>
      <c r="AY87" s="32" t="s">
        <v>489</v>
      </c>
      <c r="AZ87" s="32" t="s">
        <v>526</v>
      </c>
      <c r="BA87" s="25" t="s">
        <v>541</v>
      </c>
      <c r="BC87" s="31">
        <f>AW87+AX87</f>
        <v>0</v>
      </c>
      <c r="BD87" s="31">
        <f>H87/(100-BE87)*100</f>
        <v>0</v>
      </c>
      <c r="BE87" s="31">
        <v>0</v>
      </c>
      <c r="BF87" s="31">
        <f>87</f>
        <v>87</v>
      </c>
      <c r="BH87" s="15">
        <f>G87*AO87</f>
        <v>0</v>
      </c>
      <c r="BI87" s="15">
        <f>G87*AP87</f>
        <v>0</v>
      </c>
      <c r="BJ87" s="15">
        <f>G87*H87</f>
        <v>0</v>
      </c>
    </row>
    <row r="88" spans="1:62" x14ac:dyDescent="0.2">
      <c r="A88" s="3"/>
      <c r="B88" s="11" t="s">
        <v>27</v>
      </c>
      <c r="C88" s="134" t="s">
        <v>307</v>
      </c>
      <c r="D88" s="135"/>
      <c r="E88" s="135"/>
      <c r="F88" s="3" t="s">
        <v>6</v>
      </c>
      <c r="G88" s="3" t="s">
        <v>6</v>
      </c>
      <c r="H88" s="3" t="s">
        <v>6</v>
      </c>
      <c r="I88" s="33">
        <f>SUM(I89:I89)</f>
        <v>0</v>
      </c>
      <c r="J88" s="33">
        <f>SUM(J89:J89)</f>
        <v>0</v>
      </c>
      <c r="K88" s="33">
        <f>SUM(K89:K89)</f>
        <v>0</v>
      </c>
      <c r="L88" s="25"/>
      <c r="AI88" s="25" t="s">
        <v>487</v>
      </c>
      <c r="AS88" s="33">
        <f>SUM(AJ89:AJ89)</f>
        <v>0</v>
      </c>
      <c r="AT88" s="33">
        <f>SUM(AK89:AK89)</f>
        <v>0</v>
      </c>
      <c r="AU88" s="33">
        <f>SUM(AL89:AL89)</f>
        <v>0</v>
      </c>
    </row>
    <row r="89" spans="1:62" x14ac:dyDescent="0.2">
      <c r="A89" s="4" t="s">
        <v>58</v>
      </c>
      <c r="B89" s="4" t="s">
        <v>177</v>
      </c>
      <c r="C89" s="136" t="s">
        <v>310</v>
      </c>
      <c r="D89" s="137"/>
      <c r="E89" s="137"/>
      <c r="F89" s="4" t="s">
        <v>459</v>
      </c>
      <c r="G89" s="65">
        <v>64</v>
      </c>
      <c r="H89" s="15">
        <v>0</v>
      </c>
      <c r="I89" s="15">
        <f>G89*AO89</f>
        <v>0</v>
      </c>
      <c r="J89" s="15">
        <f>G89*AP89</f>
        <v>0</v>
      </c>
      <c r="K89" s="15">
        <f>G89*H89</f>
        <v>0</v>
      </c>
      <c r="L89" s="26" t="s">
        <v>476</v>
      </c>
      <c r="Z89" s="31">
        <f>IF(AQ89="5",BJ89,0)</f>
        <v>0</v>
      </c>
      <c r="AB89" s="31">
        <f>IF(AQ89="1",BH89,0)</f>
        <v>0</v>
      </c>
      <c r="AC89" s="31">
        <f>IF(AQ89="1",BI89,0)</f>
        <v>0</v>
      </c>
      <c r="AD89" s="31">
        <f>IF(AQ89="7",BH89,0)</f>
        <v>0</v>
      </c>
      <c r="AE89" s="31">
        <f>IF(AQ89="7",BI89,0)</f>
        <v>0</v>
      </c>
      <c r="AF89" s="31">
        <f>IF(AQ89="2",BH89,0)</f>
        <v>0</v>
      </c>
      <c r="AG89" s="31">
        <f>IF(AQ89="2",BI89,0)</f>
        <v>0</v>
      </c>
      <c r="AH89" s="31">
        <f>IF(AQ89="0",BJ89,0)</f>
        <v>0</v>
      </c>
      <c r="AI89" s="25" t="s">
        <v>487</v>
      </c>
      <c r="AJ89" s="15">
        <f>IF(AN89=0,K89,0)</f>
        <v>0</v>
      </c>
      <c r="AK89" s="15">
        <f>IF(AN89=15,K89,0)</f>
        <v>0</v>
      </c>
      <c r="AL89" s="15">
        <f>IF(AN89=21,K89,0)</f>
        <v>0</v>
      </c>
      <c r="AN89" s="31">
        <v>21</v>
      </c>
      <c r="AO89" s="31">
        <f>H89*0</f>
        <v>0</v>
      </c>
      <c r="AP89" s="31">
        <f>H89*(1-0)</f>
        <v>0</v>
      </c>
      <c r="AQ89" s="26" t="s">
        <v>7</v>
      </c>
      <c r="AV89" s="31">
        <f>AW89+AX89</f>
        <v>0</v>
      </c>
      <c r="AW89" s="31">
        <f>G89*AO89</f>
        <v>0</v>
      </c>
      <c r="AX89" s="31">
        <f>G89*AP89</f>
        <v>0</v>
      </c>
      <c r="AY89" s="32" t="s">
        <v>495</v>
      </c>
      <c r="AZ89" s="32" t="s">
        <v>527</v>
      </c>
      <c r="BA89" s="25" t="s">
        <v>541</v>
      </c>
      <c r="BC89" s="31">
        <f>AW89+AX89</f>
        <v>0</v>
      </c>
      <c r="BD89" s="31">
        <f>H89/(100-BE89)*100</f>
        <v>0</v>
      </c>
      <c r="BE89" s="31">
        <v>0</v>
      </c>
      <c r="BF89" s="31">
        <f>89</f>
        <v>89</v>
      </c>
      <c r="BH89" s="15">
        <f>G89*AO89</f>
        <v>0</v>
      </c>
      <c r="BI89" s="15">
        <f>G89*AP89</f>
        <v>0</v>
      </c>
      <c r="BJ89" s="15">
        <f>G89*H89</f>
        <v>0</v>
      </c>
    </row>
    <row r="90" spans="1:62" x14ac:dyDescent="0.2">
      <c r="A90" s="3"/>
      <c r="B90" s="11" t="s">
        <v>47</v>
      </c>
      <c r="C90" s="134" t="s">
        <v>364</v>
      </c>
      <c r="D90" s="135"/>
      <c r="E90" s="135"/>
      <c r="F90" s="3" t="s">
        <v>6</v>
      </c>
      <c r="G90" s="3" t="s">
        <v>6</v>
      </c>
      <c r="H90" s="3" t="s">
        <v>6</v>
      </c>
      <c r="I90" s="33">
        <f>SUM(I91:I94)</f>
        <v>0</v>
      </c>
      <c r="J90" s="33">
        <f>SUM(J91:J94)</f>
        <v>0</v>
      </c>
      <c r="K90" s="33">
        <f>SUM(K91:K94)</f>
        <v>0</v>
      </c>
      <c r="L90" s="25"/>
      <c r="AI90" s="25" t="s">
        <v>487</v>
      </c>
      <c r="AS90" s="33">
        <f>SUM(AJ91:AJ94)</f>
        <v>0</v>
      </c>
      <c r="AT90" s="33">
        <f>SUM(AK91:AK94)</f>
        <v>0</v>
      </c>
      <c r="AU90" s="33">
        <f>SUM(AL91:AL94)</f>
        <v>0</v>
      </c>
    </row>
    <row r="91" spans="1:62" x14ac:dyDescent="0.2">
      <c r="A91" s="4" t="s">
        <v>59</v>
      </c>
      <c r="B91" s="4" t="s">
        <v>222</v>
      </c>
      <c r="C91" s="136" t="s">
        <v>365</v>
      </c>
      <c r="D91" s="137"/>
      <c r="E91" s="137"/>
      <c r="F91" s="4" t="s">
        <v>457</v>
      </c>
      <c r="G91" s="65">
        <v>2.762</v>
      </c>
      <c r="H91" s="15">
        <v>0</v>
      </c>
      <c r="I91" s="15">
        <f>G91*AO91</f>
        <v>0</v>
      </c>
      <c r="J91" s="15">
        <f>G91*AP91</f>
        <v>0</v>
      </c>
      <c r="K91" s="15">
        <f>G91*H91</f>
        <v>0</v>
      </c>
      <c r="L91" s="26" t="s">
        <v>476</v>
      </c>
      <c r="Z91" s="31">
        <f>IF(AQ91="5",BJ91,0)</f>
        <v>0</v>
      </c>
      <c r="AB91" s="31">
        <f>IF(AQ91="1",BH91,0)</f>
        <v>0</v>
      </c>
      <c r="AC91" s="31">
        <f>IF(AQ91="1",BI91,0)</f>
        <v>0</v>
      </c>
      <c r="AD91" s="31">
        <f>IF(AQ91="7",BH91,0)</f>
        <v>0</v>
      </c>
      <c r="AE91" s="31">
        <f>IF(AQ91="7",BI91,0)</f>
        <v>0</v>
      </c>
      <c r="AF91" s="31">
        <f>IF(AQ91="2",BH91,0)</f>
        <v>0</v>
      </c>
      <c r="AG91" s="31">
        <f>IF(AQ91="2",BI91,0)</f>
        <v>0</v>
      </c>
      <c r="AH91" s="31">
        <f>IF(AQ91="0",BJ91,0)</f>
        <v>0</v>
      </c>
      <c r="AI91" s="25" t="s">
        <v>487</v>
      </c>
      <c r="AJ91" s="15">
        <f>IF(AN91=0,K91,0)</f>
        <v>0</v>
      </c>
      <c r="AK91" s="15">
        <f>IF(AN91=15,K91,0)</f>
        <v>0</v>
      </c>
      <c r="AL91" s="15">
        <f>IF(AN91=21,K91,0)</f>
        <v>0</v>
      </c>
      <c r="AN91" s="31">
        <v>21</v>
      </c>
      <c r="AO91" s="31">
        <f>H91*0.802728915662651</f>
        <v>0</v>
      </c>
      <c r="AP91" s="31">
        <f>H91*(1-0.802728915662651)</f>
        <v>0</v>
      </c>
      <c r="AQ91" s="26" t="s">
        <v>7</v>
      </c>
      <c r="AV91" s="31">
        <f>AW91+AX91</f>
        <v>0</v>
      </c>
      <c r="AW91" s="31">
        <f>G91*AO91</f>
        <v>0</v>
      </c>
      <c r="AX91" s="31">
        <f>G91*AP91</f>
        <v>0</v>
      </c>
      <c r="AY91" s="32" t="s">
        <v>509</v>
      </c>
      <c r="AZ91" s="32" t="s">
        <v>528</v>
      </c>
      <c r="BA91" s="25" t="s">
        <v>541</v>
      </c>
      <c r="BC91" s="31">
        <f>AW91+AX91</f>
        <v>0</v>
      </c>
      <c r="BD91" s="31">
        <f>H91/(100-BE91)*100</f>
        <v>0</v>
      </c>
      <c r="BE91" s="31">
        <v>0</v>
      </c>
      <c r="BF91" s="31">
        <f>91</f>
        <v>91</v>
      </c>
      <c r="BH91" s="15">
        <f>G91*AO91</f>
        <v>0</v>
      </c>
      <c r="BI91" s="15">
        <f>G91*AP91</f>
        <v>0</v>
      </c>
      <c r="BJ91" s="15">
        <f>G91*H91</f>
        <v>0</v>
      </c>
    </row>
    <row r="92" spans="1:62" x14ac:dyDescent="0.2">
      <c r="A92" s="4" t="s">
        <v>60</v>
      </c>
      <c r="B92" s="4" t="s">
        <v>223</v>
      </c>
      <c r="C92" s="136" t="s">
        <v>366</v>
      </c>
      <c r="D92" s="137"/>
      <c r="E92" s="137"/>
      <c r="F92" s="4" t="s">
        <v>459</v>
      </c>
      <c r="G92" s="65">
        <v>29.46</v>
      </c>
      <c r="H92" s="15">
        <v>0</v>
      </c>
      <c r="I92" s="15">
        <f>G92*AO92</f>
        <v>0</v>
      </c>
      <c r="J92" s="15">
        <f>G92*AP92</f>
        <v>0</v>
      </c>
      <c r="K92" s="15">
        <f>G92*H92</f>
        <v>0</v>
      </c>
      <c r="L92" s="26" t="s">
        <v>476</v>
      </c>
      <c r="Z92" s="31">
        <f>IF(AQ92="5",BJ92,0)</f>
        <v>0</v>
      </c>
      <c r="AB92" s="31">
        <f>IF(AQ92="1",BH92,0)</f>
        <v>0</v>
      </c>
      <c r="AC92" s="31">
        <f>IF(AQ92="1",BI92,0)</f>
        <v>0</v>
      </c>
      <c r="AD92" s="31">
        <f>IF(AQ92="7",BH92,0)</f>
        <v>0</v>
      </c>
      <c r="AE92" s="31">
        <f>IF(AQ92="7",BI92,0)</f>
        <v>0</v>
      </c>
      <c r="AF92" s="31">
        <f>IF(AQ92="2",BH92,0)</f>
        <v>0</v>
      </c>
      <c r="AG92" s="31">
        <f>IF(AQ92="2",BI92,0)</f>
        <v>0</v>
      </c>
      <c r="AH92" s="31">
        <f>IF(AQ92="0",BJ92,0)</f>
        <v>0</v>
      </c>
      <c r="AI92" s="25" t="s">
        <v>487</v>
      </c>
      <c r="AJ92" s="15">
        <f>IF(AN92=0,K92,0)</f>
        <v>0</v>
      </c>
      <c r="AK92" s="15">
        <f>IF(AN92=15,K92,0)</f>
        <v>0</v>
      </c>
      <c r="AL92" s="15">
        <f>IF(AN92=21,K92,0)</f>
        <v>0</v>
      </c>
      <c r="AN92" s="31">
        <v>21</v>
      </c>
      <c r="AO92" s="31">
        <f>H92*0.222535545023697</f>
        <v>0</v>
      </c>
      <c r="AP92" s="31">
        <f>H92*(1-0.222535545023697)</f>
        <v>0</v>
      </c>
      <c r="AQ92" s="26" t="s">
        <v>7</v>
      </c>
      <c r="AV92" s="31">
        <f>AW92+AX92</f>
        <v>0</v>
      </c>
      <c r="AW92" s="31">
        <f>G92*AO92</f>
        <v>0</v>
      </c>
      <c r="AX92" s="31">
        <f>G92*AP92</f>
        <v>0</v>
      </c>
      <c r="AY92" s="32" t="s">
        <v>509</v>
      </c>
      <c r="AZ92" s="32" t="s">
        <v>528</v>
      </c>
      <c r="BA92" s="25" t="s">
        <v>541</v>
      </c>
      <c r="BC92" s="31">
        <f>AW92+AX92</f>
        <v>0</v>
      </c>
      <c r="BD92" s="31">
        <f>H92/(100-BE92)*100</f>
        <v>0</v>
      </c>
      <c r="BE92" s="31">
        <v>0</v>
      </c>
      <c r="BF92" s="31">
        <f>92</f>
        <v>92</v>
      </c>
      <c r="BH92" s="15">
        <f>G92*AO92</f>
        <v>0</v>
      </c>
      <c r="BI92" s="15">
        <f>G92*AP92</f>
        <v>0</v>
      </c>
      <c r="BJ92" s="15">
        <f>G92*H92</f>
        <v>0</v>
      </c>
    </row>
    <row r="93" spans="1:62" x14ac:dyDescent="0.2">
      <c r="A93" s="4" t="s">
        <v>61</v>
      </c>
      <c r="B93" s="4" t="s">
        <v>224</v>
      </c>
      <c r="C93" s="136" t="s">
        <v>367</v>
      </c>
      <c r="D93" s="137"/>
      <c r="E93" s="137"/>
      <c r="F93" s="4" t="s">
        <v>459</v>
      </c>
      <c r="G93" s="65">
        <v>29.46</v>
      </c>
      <c r="H93" s="15">
        <v>0</v>
      </c>
      <c r="I93" s="15">
        <f>G93*AO93</f>
        <v>0</v>
      </c>
      <c r="J93" s="15">
        <f>G93*AP93</f>
        <v>0</v>
      </c>
      <c r="K93" s="15">
        <f>G93*H93</f>
        <v>0</v>
      </c>
      <c r="L93" s="26" t="s">
        <v>476</v>
      </c>
      <c r="Z93" s="31">
        <f>IF(AQ93="5",BJ93,0)</f>
        <v>0</v>
      </c>
      <c r="AB93" s="31">
        <f>IF(AQ93="1",BH93,0)</f>
        <v>0</v>
      </c>
      <c r="AC93" s="31">
        <f>IF(AQ93="1",BI93,0)</f>
        <v>0</v>
      </c>
      <c r="AD93" s="31">
        <f>IF(AQ93="7",BH93,0)</f>
        <v>0</v>
      </c>
      <c r="AE93" s="31">
        <f>IF(AQ93="7",BI93,0)</f>
        <v>0</v>
      </c>
      <c r="AF93" s="31">
        <f>IF(AQ93="2",BH93,0)</f>
        <v>0</v>
      </c>
      <c r="AG93" s="31">
        <f>IF(AQ93="2",BI93,0)</f>
        <v>0</v>
      </c>
      <c r="AH93" s="31">
        <f>IF(AQ93="0",BJ93,0)</f>
        <v>0</v>
      </c>
      <c r="AI93" s="25" t="s">
        <v>487</v>
      </c>
      <c r="AJ93" s="15">
        <f>IF(AN93=0,K93,0)</f>
        <v>0</v>
      </c>
      <c r="AK93" s="15">
        <f>IF(AN93=15,K93,0)</f>
        <v>0</v>
      </c>
      <c r="AL93" s="15">
        <f>IF(AN93=21,K93,0)</f>
        <v>0</v>
      </c>
      <c r="AN93" s="31">
        <v>21</v>
      </c>
      <c r="AO93" s="31">
        <f>H93*0</f>
        <v>0</v>
      </c>
      <c r="AP93" s="31">
        <f>H93*(1-0)</f>
        <v>0</v>
      </c>
      <c r="AQ93" s="26" t="s">
        <v>7</v>
      </c>
      <c r="AV93" s="31">
        <f>AW93+AX93</f>
        <v>0</v>
      </c>
      <c r="AW93" s="31">
        <f>G93*AO93</f>
        <v>0</v>
      </c>
      <c r="AX93" s="31">
        <f>G93*AP93</f>
        <v>0</v>
      </c>
      <c r="AY93" s="32" t="s">
        <v>509</v>
      </c>
      <c r="AZ93" s="32" t="s">
        <v>528</v>
      </c>
      <c r="BA93" s="25" t="s">
        <v>541</v>
      </c>
      <c r="BC93" s="31">
        <f>AW93+AX93</f>
        <v>0</v>
      </c>
      <c r="BD93" s="31">
        <f>H93/(100-BE93)*100</f>
        <v>0</v>
      </c>
      <c r="BE93" s="31">
        <v>0</v>
      </c>
      <c r="BF93" s="31">
        <f>93</f>
        <v>93</v>
      </c>
      <c r="BH93" s="15">
        <f>G93*AO93</f>
        <v>0</v>
      </c>
      <c r="BI93" s="15">
        <f>G93*AP93</f>
        <v>0</v>
      </c>
      <c r="BJ93" s="15">
        <f>G93*H93</f>
        <v>0</v>
      </c>
    </row>
    <row r="94" spans="1:62" x14ac:dyDescent="0.2">
      <c r="A94" s="4" t="s">
        <v>62</v>
      </c>
      <c r="B94" s="4" t="s">
        <v>225</v>
      </c>
      <c r="C94" s="136" t="s">
        <v>368</v>
      </c>
      <c r="D94" s="137"/>
      <c r="E94" s="137"/>
      <c r="F94" s="4" t="s">
        <v>458</v>
      </c>
      <c r="G94" s="65">
        <v>0.182</v>
      </c>
      <c r="H94" s="15">
        <v>0</v>
      </c>
      <c r="I94" s="15">
        <f>G94*AO94</f>
        <v>0</v>
      </c>
      <c r="J94" s="15">
        <f>G94*AP94</f>
        <v>0</v>
      </c>
      <c r="K94" s="15">
        <f>G94*H94</f>
        <v>0</v>
      </c>
      <c r="L94" s="26" t="s">
        <v>476</v>
      </c>
      <c r="Z94" s="31">
        <f>IF(AQ94="5",BJ94,0)</f>
        <v>0</v>
      </c>
      <c r="AB94" s="31">
        <f>IF(AQ94="1",BH94,0)</f>
        <v>0</v>
      </c>
      <c r="AC94" s="31">
        <f>IF(AQ94="1",BI94,0)</f>
        <v>0</v>
      </c>
      <c r="AD94" s="31">
        <f>IF(AQ94="7",BH94,0)</f>
        <v>0</v>
      </c>
      <c r="AE94" s="31">
        <f>IF(AQ94="7",BI94,0)</f>
        <v>0</v>
      </c>
      <c r="AF94" s="31">
        <f>IF(AQ94="2",BH94,0)</f>
        <v>0</v>
      </c>
      <c r="AG94" s="31">
        <f>IF(AQ94="2",BI94,0)</f>
        <v>0</v>
      </c>
      <c r="AH94" s="31">
        <f>IF(AQ94="0",BJ94,0)</f>
        <v>0</v>
      </c>
      <c r="AI94" s="25" t="s">
        <v>487</v>
      </c>
      <c r="AJ94" s="15">
        <f>IF(AN94=0,K94,0)</f>
        <v>0</v>
      </c>
      <c r="AK94" s="15">
        <f>IF(AN94=15,K94,0)</f>
        <v>0</v>
      </c>
      <c r="AL94" s="15">
        <f>IF(AN94=21,K94,0)</f>
        <v>0</v>
      </c>
      <c r="AN94" s="31">
        <v>21</v>
      </c>
      <c r="AO94" s="31">
        <f>H94*0.630550025654182</f>
        <v>0</v>
      </c>
      <c r="AP94" s="31">
        <f>H94*(1-0.630550025654182)</f>
        <v>0</v>
      </c>
      <c r="AQ94" s="26" t="s">
        <v>7</v>
      </c>
      <c r="AV94" s="31">
        <f>AW94+AX94</f>
        <v>0</v>
      </c>
      <c r="AW94" s="31">
        <f>G94*AO94</f>
        <v>0</v>
      </c>
      <c r="AX94" s="31">
        <f>G94*AP94</f>
        <v>0</v>
      </c>
      <c r="AY94" s="32" t="s">
        <v>509</v>
      </c>
      <c r="AZ94" s="32" t="s">
        <v>528</v>
      </c>
      <c r="BA94" s="25" t="s">
        <v>541</v>
      </c>
      <c r="BC94" s="31">
        <f>AW94+AX94</f>
        <v>0</v>
      </c>
      <c r="BD94" s="31">
        <f>H94/(100-BE94)*100</f>
        <v>0</v>
      </c>
      <c r="BE94" s="31">
        <v>0</v>
      </c>
      <c r="BF94" s="31">
        <f>94</f>
        <v>94</v>
      </c>
      <c r="BH94" s="15">
        <f>G94*AO94</f>
        <v>0</v>
      </c>
      <c r="BI94" s="15">
        <f>G94*AP94</f>
        <v>0</v>
      </c>
      <c r="BJ94" s="15">
        <f>G94*H94</f>
        <v>0</v>
      </c>
    </row>
    <row r="95" spans="1:62" x14ac:dyDescent="0.2">
      <c r="A95" s="3"/>
      <c r="B95" s="11" t="s">
        <v>62</v>
      </c>
      <c r="C95" s="134" t="s">
        <v>311</v>
      </c>
      <c r="D95" s="135"/>
      <c r="E95" s="135"/>
      <c r="F95" s="3" t="s">
        <v>6</v>
      </c>
      <c r="G95" s="3" t="s">
        <v>6</v>
      </c>
      <c r="H95" s="3" t="s">
        <v>6</v>
      </c>
      <c r="I95" s="33">
        <f>SUM(I96:I97)</f>
        <v>0</v>
      </c>
      <c r="J95" s="33">
        <f>SUM(J96:J97)</f>
        <v>0</v>
      </c>
      <c r="K95" s="33">
        <f>SUM(K96:K97)</f>
        <v>0</v>
      </c>
      <c r="L95" s="25"/>
      <c r="AI95" s="25" t="s">
        <v>487</v>
      </c>
      <c r="AS95" s="33">
        <f>SUM(AJ96:AJ97)</f>
        <v>0</v>
      </c>
      <c r="AT95" s="33">
        <f>SUM(AK96:AK97)</f>
        <v>0</v>
      </c>
      <c r="AU95" s="33">
        <f>SUM(AL96:AL97)</f>
        <v>0</v>
      </c>
    </row>
    <row r="96" spans="1:62" x14ac:dyDescent="0.2">
      <c r="A96" s="4" t="s">
        <v>63</v>
      </c>
      <c r="B96" s="4" t="s">
        <v>226</v>
      </c>
      <c r="C96" s="136" t="s">
        <v>369</v>
      </c>
      <c r="D96" s="137"/>
      <c r="E96" s="137"/>
      <c r="F96" s="4" t="s">
        <v>459</v>
      </c>
      <c r="G96" s="65">
        <v>46</v>
      </c>
      <c r="H96" s="15">
        <v>0</v>
      </c>
      <c r="I96" s="15">
        <f>G96*AO96</f>
        <v>0</v>
      </c>
      <c r="J96" s="15">
        <f>G96*AP96</f>
        <v>0</v>
      </c>
      <c r="K96" s="15">
        <f>G96*H96</f>
        <v>0</v>
      </c>
      <c r="L96" s="26" t="s">
        <v>476</v>
      </c>
      <c r="Z96" s="31">
        <f>IF(AQ96="5",BJ96,0)</f>
        <v>0</v>
      </c>
      <c r="AB96" s="31">
        <f>IF(AQ96="1",BH96,0)</f>
        <v>0</v>
      </c>
      <c r="AC96" s="31">
        <f>IF(AQ96="1",BI96,0)</f>
        <v>0</v>
      </c>
      <c r="AD96" s="31">
        <f>IF(AQ96="7",BH96,0)</f>
        <v>0</v>
      </c>
      <c r="AE96" s="31">
        <f>IF(AQ96="7",BI96,0)</f>
        <v>0</v>
      </c>
      <c r="AF96" s="31">
        <f>IF(AQ96="2",BH96,0)</f>
        <v>0</v>
      </c>
      <c r="AG96" s="31">
        <f>IF(AQ96="2",BI96,0)</f>
        <v>0</v>
      </c>
      <c r="AH96" s="31">
        <f>IF(AQ96="0",BJ96,0)</f>
        <v>0</v>
      </c>
      <c r="AI96" s="25" t="s">
        <v>487</v>
      </c>
      <c r="AJ96" s="15">
        <f>IF(AN96=0,K96,0)</f>
        <v>0</v>
      </c>
      <c r="AK96" s="15">
        <f>IF(AN96=15,K96,0)</f>
        <v>0</v>
      </c>
      <c r="AL96" s="15">
        <f>IF(AN96=21,K96,0)</f>
        <v>0</v>
      </c>
      <c r="AN96" s="31">
        <v>21</v>
      </c>
      <c r="AO96" s="31">
        <f>H96*0.809620253164557</f>
        <v>0</v>
      </c>
      <c r="AP96" s="31">
        <f>H96*(1-0.809620253164557)</f>
        <v>0</v>
      </c>
      <c r="AQ96" s="26" t="s">
        <v>7</v>
      </c>
      <c r="AV96" s="31">
        <f>AW96+AX96</f>
        <v>0</v>
      </c>
      <c r="AW96" s="31">
        <f>G96*AO96</f>
        <v>0</v>
      </c>
      <c r="AX96" s="31">
        <f>G96*AP96</f>
        <v>0</v>
      </c>
      <c r="AY96" s="32" t="s">
        <v>496</v>
      </c>
      <c r="AZ96" s="32" t="s">
        <v>529</v>
      </c>
      <c r="BA96" s="25" t="s">
        <v>541</v>
      </c>
      <c r="BC96" s="31">
        <f>AW96+AX96</f>
        <v>0</v>
      </c>
      <c r="BD96" s="31">
        <f>H96/(100-BE96)*100</f>
        <v>0</v>
      </c>
      <c r="BE96" s="31">
        <v>0</v>
      </c>
      <c r="BF96" s="31">
        <f>96</f>
        <v>96</v>
      </c>
      <c r="BH96" s="15">
        <f>G96*AO96</f>
        <v>0</v>
      </c>
      <c r="BI96" s="15">
        <f>G96*AP96</f>
        <v>0</v>
      </c>
      <c r="BJ96" s="15">
        <f>G96*H96</f>
        <v>0</v>
      </c>
    </row>
    <row r="97" spans="1:62" x14ac:dyDescent="0.2">
      <c r="A97" s="4" t="s">
        <v>64</v>
      </c>
      <c r="B97" s="4" t="s">
        <v>178</v>
      </c>
      <c r="C97" s="136" t="s">
        <v>312</v>
      </c>
      <c r="D97" s="137"/>
      <c r="E97" s="137"/>
      <c r="F97" s="4" t="s">
        <v>459</v>
      </c>
      <c r="G97" s="65">
        <v>18</v>
      </c>
      <c r="H97" s="15">
        <v>0</v>
      </c>
      <c r="I97" s="15">
        <f>G97*AO97</f>
        <v>0</v>
      </c>
      <c r="J97" s="15">
        <f>G97*AP97</f>
        <v>0</v>
      </c>
      <c r="K97" s="15">
        <f>G97*H97</f>
        <v>0</v>
      </c>
      <c r="L97" s="26" t="s">
        <v>476</v>
      </c>
      <c r="Z97" s="31">
        <f>IF(AQ97="5",BJ97,0)</f>
        <v>0</v>
      </c>
      <c r="AB97" s="31">
        <f>IF(AQ97="1",BH97,0)</f>
        <v>0</v>
      </c>
      <c r="AC97" s="31">
        <f>IF(AQ97="1",BI97,0)</f>
        <v>0</v>
      </c>
      <c r="AD97" s="31">
        <f>IF(AQ97="7",BH97,0)</f>
        <v>0</v>
      </c>
      <c r="AE97" s="31">
        <f>IF(AQ97="7",BI97,0)</f>
        <v>0</v>
      </c>
      <c r="AF97" s="31">
        <f>IF(AQ97="2",BH97,0)</f>
        <v>0</v>
      </c>
      <c r="AG97" s="31">
        <f>IF(AQ97="2",BI97,0)</f>
        <v>0</v>
      </c>
      <c r="AH97" s="31">
        <f>IF(AQ97="0",BJ97,0)</f>
        <v>0</v>
      </c>
      <c r="AI97" s="25" t="s">
        <v>487</v>
      </c>
      <c r="AJ97" s="15">
        <f>IF(AN97=0,K97,0)</f>
        <v>0</v>
      </c>
      <c r="AK97" s="15">
        <f>IF(AN97=15,K97,0)</f>
        <v>0</v>
      </c>
      <c r="AL97" s="15">
        <f>IF(AN97=21,K97,0)</f>
        <v>0</v>
      </c>
      <c r="AN97" s="31">
        <v>21</v>
      </c>
      <c r="AO97" s="31">
        <f>H97*0.834376996805112</f>
        <v>0</v>
      </c>
      <c r="AP97" s="31">
        <f>H97*(1-0.834376996805112)</f>
        <v>0</v>
      </c>
      <c r="AQ97" s="26" t="s">
        <v>7</v>
      </c>
      <c r="AV97" s="31">
        <f>AW97+AX97</f>
        <v>0</v>
      </c>
      <c r="AW97" s="31">
        <f>G97*AO97</f>
        <v>0</v>
      </c>
      <c r="AX97" s="31">
        <f>G97*AP97</f>
        <v>0</v>
      </c>
      <c r="AY97" s="32" t="s">
        <v>496</v>
      </c>
      <c r="AZ97" s="32" t="s">
        <v>529</v>
      </c>
      <c r="BA97" s="25" t="s">
        <v>541</v>
      </c>
      <c r="BC97" s="31">
        <f>AW97+AX97</f>
        <v>0</v>
      </c>
      <c r="BD97" s="31">
        <f>H97/(100-BE97)*100</f>
        <v>0</v>
      </c>
      <c r="BE97" s="31">
        <v>0</v>
      </c>
      <c r="BF97" s="31">
        <f>97</f>
        <v>97</v>
      </c>
      <c r="BH97" s="15">
        <f>G97*AO97</f>
        <v>0</v>
      </c>
      <c r="BI97" s="15">
        <f>G97*AP97</f>
        <v>0</v>
      </c>
      <c r="BJ97" s="15">
        <f>G97*H97</f>
        <v>0</v>
      </c>
    </row>
    <row r="98" spans="1:62" x14ac:dyDescent="0.2">
      <c r="A98" s="3"/>
      <c r="B98" s="11" t="s">
        <v>65</v>
      </c>
      <c r="C98" s="134" t="s">
        <v>313</v>
      </c>
      <c r="D98" s="135"/>
      <c r="E98" s="135"/>
      <c r="F98" s="3" t="s">
        <v>6</v>
      </c>
      <c r="G98" s="3" t="s">
        <v>6</v>
      </c>
      <c r="H98" s="3" t="s">
        <v>6</v>
      </c>
      <c r="I98" s="33">
        <f>SUM(I99:I105)</f>
        <v>0</v>
      </c>
      <c r="J98" s="33">
        <f>SUM(J99:J105)</f>
        <v>0</v>
      </c>
      <c r="K98" s="33">
        <f>SUM(K99:K105)</f>
        <v>0</v>
      </c>
      <c r="L98" s="25"/>
      <c r="AI98" s="25" t="s">
        <v>487</v>
      </c>
      <c r="AS98" s="33">
        <f>SUM(AJ99:AJ105)</f>
        <v>0</v>
      </c>
      <c r="AT98" s="33">
        <f>SUM(AK99:AK105)</f>
        <v>0</v>
      </c>
      <c r="AU98" s="33">
        <f>SUM(AL99:AL105)</f>
        <v>0</v>
      </c>
    </row>
    <row r="99" spans="1:62" x14ac:dyDescent="0.2">
      <c r="A99" s="4" t="s">
        <v>65</v>
      </c>
      <c r="B99" s="4" t="s">
        <v>179</v>
      </c>
      <c r="C99" s="136" t="s">
        <v>314</v>
      </c>
      <c r="D99" s="137"/>
      <c r="E99" s="137"/>
      <c r="F99" s="4" t="s">
        <v>459</v>
      </c>
      <c r="G99" s="65">
        <v>18</v>
      </c>
      <c r="H99" s="15">
        <v>0</v>
      </c>
      <c r="I99" s="15">
        <f t="shared" ref="I99:I105" si="46">G99*AO99</f>
        <v>0</v>
      </c>
      <c r="J99" s="15">
        <f t="shared" ref="J99:J105" si="47">G99*AP99</f>
        <v>0</v>
      </c>
      <c r="K99" s="15">
        <f t="shared" ref="K99:K105" si="48">G99*H99</f>
        <v>0</v>
      </c>
      <c r="L99" s="26" t="s">
        <v>476</v>
      </c>
      <c r="Z99" s="31">
        <f t="shared" ref="Z99:Z105" si="49">IF(AQ99="5",BJ99,0)</f>
        <v>0</v>
      </c>
      <c r="AB99" s="31">
        <f t="shared" ref="AB99:AB105" si="50">IF(AQ99="1",BH99,0)</f>
        <v>0</v>
      </c>
      <c r="AC99" s="31">
        <f t="shared" ref="AC99:AC105" si="51">IF(AQ99="1",BI99,0)</f>
        <v>0</v>
      </c>
      <c r="AD99" s="31">
        <f t="shared" ref="AD99:AD105" si="52">IF(AQ99="7",BH99,0)</f>
        <v>0</v>
      </c>
      <c r="AE99" s="31">
        <f t="shared" ref="AE99:AE105" si="53">IF(AQ99="7",BI99,0)</f>
        <v>0</v>
      </c>
      <c r="AF99" s="31">
        <f t="shared" ref="AF99:AF105" si="54">IF(AQ99="2",BH99,0)</f>
        <v>0</v>
      </c>
      <c r="AG99" s="31">
        <f t="shared" ref="AG99:AG105" si="55">IF(AQ99="2",BI99,0)</f>
        <v>0</v>
      </c>
      <c r="AH99" s="31">
        <f t="shared" ref="AH99:AH105" si="56">IF(AQ99="0",BJ99,0)</f>
        <v>0</v>
      </c>
      <c r="AI99" s="25" t="s">
        <v>487</v>
      </c>
      <c r="AJ99" s="15">
        <f t="shared" ref="AJ99:AJ105" si="57">IF(AN99=0,K99,0)</f>
        <v>0</v>
      </c>
      <c r="AK99" s="15">
        <f t="shared" ref="AK99:AK105" si="58">IF(AN99=15,K99,0)</f>
        <v>0</v>
      </c>
      <c r="AL99" s="15">
        <f t="shared" ref="AL99:AL105" si="59">IF(AN99=21,K99,0)</f>
        <v>0</v>
      </c>
      <c r="AN99" s="31">
        <v>21</v>
      </c>
      <c r="AO99" s="31">
        <f>H99*0.129275421773242</f>
        <v>0</v>
      </c>
      <c r="AP99" s="31">
        <f>H99*(1-0.129275421773242)</f>
        <v>0</v>
      </c>
      <c r="AQ99" s="26" t="s">
        <v>7</v>
      </c>
      <c r="AV99" s="31">
        <f t="shared" ref="AV99:AV105" si="60">AW99+AX99</f>
        <v>0</v>
      </c>
      <c r="AW99" s="31">
        <f t="shared" ref="AW99:AW105" si="61">G99*AO99</f>
        <v>0</v>
      </c>
      <c r="AX99" s="31">
        <f t="shared" ref="AX99:AX105" si="62">G99*AP99</f>
        <v>0</v>
      </c>
      <c r="AY99" s="32" t="s">
        <v>497</v>
      </c>
      <c r="AZ99" s="32" t="s">
        <v>529</v>
      </c>
      <c r="BA99" s="25" t="s">
        <v>541</v>
      </c>
      <c r="BC99" s="31">
        <f t="shared" ref="BC99:BC105" si="63">AW99+AX99</f>
        <v>0</v>
      </c>
      <c r="BD99" s="31">
        <f t="shared" ref="BD99:BD105" si="64">H99/(100-BE99)*100</f>
        <v>0</v>
      </c>
      <c r="BE99" s="31">
        <v>0</v>
      </c>
      <c r="BF99" s="31">
        <f>99</f>
        <v>99</v>
      </c>
      <c r="BH99" s="15">
        <f t="shared" ref="BH99:BH105" si="65">G99*AO99</f>
        <v>0</v>
      </c>
      <c r="BI99" s="15">
        <f t="shared" ref="BI99:BI105" si="66">G99*AP99</f>
        <v>0</v>
      </c>
      <c r="BJ99" s="15">
        <f t="shared" ref="BJ99:BJ105" si="67">G99*H99</f>
        <v>0</v>
      </c>
    </row>
    <row r="100" spans="1:62" x14ac:dyDescent="0.2">
      <c r="A100" s="5" t="s">
        <v>66</v>
      </c>
      <c r="B100" s="5" t="s">
        <v>180</v>
      </c>
      <c r="C100" s="151" t="s">
        <v>315</v>
      </c>
      <c r="D100" s="152"/>
      <c r="E100" s="152"/>
      <c r="F100" s="5" t="s">
        <v>459</v>
      </c>
      <c r="G100" s="68">
        <v>18.899999999999999</v>
      </c>
      <c r="H100" s="16">
        <v>0</v>
      </c>
      <c r="I100" s="16">
        <f t="shared" si="46"/>
        <v>0</v>
      </c>
      <c r="J100" s="16">
        <f t="shared" si="47"/>
        <v>0</v>
      </c>
      <c r="K100" s="16">
        <f t="shared" si="48"/>
        <v>0</v>
      </c>
      <c r="L100" s="27" t="s">
        <v>476</v>
      </c>
      <c r="Z100" s="31">
        <f t="shared" si="49"/>
        <v>0</v>
      </c>
      <c r="AB100" s="31">
        <f t="shared" si="50"/>
        <v>0</v>
      </c>
      <c r="AC100" s="31">
        <f t="shared" si="51"/>
        <v>0</v>
      </c>
      <c r="AD100" s="31">
        <f t="shared" si="52"/>
        <v>0</v>
      </c>
      <c r="AE100" s="31">
        <f t="shared" si="53"/>
        <v>0</v>
      </c>
      <c r="AF100" s="31">
        <f t="shared" si="54"/>
        <v>0</v>
      </c>
      <c r="AG100" s="31">
        <f t="shared" si="55"/>
        <v>0</v>
      </c>
      <c r="AH100" s="31">
        <f t="shared" si="56"/>
        <v>0</v>
      </c>
      <c r="AI100" s="25" t="s">
        <v>487</v>
      </c>
      <c r="AJ100" s="16">
        <f t="shared" si="57"/>
        <v>0</v>
      </c>
      <c r="AK100" s="16">
        <f t="shared" si="58"/>
        <v>0</v>
      </c>
      <c r="AL100" s="16">
        <f t="shared" si="59"/>
        <v>0</v>
      </c>
      <c r="AN100" s="31">
        <v>21</v>
      </c>
      <c r="AO100" s="31">
        <f>H100*1</f>
        <v>0</v>
      </c>
      <c r="AP100" s="31">
        <f>H100*(1-1)</f>
        <v>0</v>
      </c>
      <c r="AQ100" s="27" t="s">
        <v>7</v>
      </c>
      <c r="AV100" s="31">
        <f t="shared" si="60"/>
        <v>0</v>
      </c>
      <c r="AW100" s="31">
        <f t="shared" si="61"/>
        <v>0</v>
      </c>
      <c r="AX100" s="31">
        <f t="shared" si="62"/>
        <v>0</v>
      </c>
      <c r="AY100" s="32" t="s">
        <v>497</v>
      </c>
      <c r="AZ100" s="32" t="s">
        <v>529</v>
      </c>
      <c r="BA100" s="25" t="s">
        <v>541</v>
      </c>
      <c r="BC100" s="31">
        <f t="shared" si="63"/>
        <v>0</v>
      </c>
      <c r="BD100" s="31">
        <f t="shared" si="64"/>
        <v>0</v>
      </c>
      <c r="BE100" s="31">
        <v>0</v>
      </c>
      <c r="BF100" s="31">
        <f>100</f>
        <v>100</v>
      </c>
      <c r="BH100" s="16">
        <f t="shared" si="65"/>
        <v>0</v>
      </c>
      <c r="BI100" s="16">
        <f t="shared" si="66"/>
        <v>0</v>
      </c>
      <c r="BJ100" s="16">
        <f t="shared" si="67"/>
        <v>0</v>
      </c>
    </row>
    <row r="101" spans="1:62" x14ac:dyDescent="0.2">
      <c r="A101" s="4" t="s">
        <v>67</v>
      </c>
      <c r="B101" s="4" t="s">
        <v>227</v>
      </c>
      <c r="C101" s="136" t="s">
        <v>370</v>
      </c>
      <c r="D101" s="137"/>
      <c r="E101" s="137"/>
      <c r="F101" s="4" t="s">
        <v>459</v>
      </c>
      <c r="G101" s="65">
        <v>46</v>
      </c>
      <c r="H101" s="15">
        <v>0</v>
      </c>
      <c r="I101" s="15">
        <f t="shared" si="46"/>
        <v>0</v>
      </c>
      <c r="J101" s="15">
        <f t="shared" si="47"/>
        <v>0</v>
      </c>
      <c r="K101" s="15">
        <f t="shared" si="48"/>
        <v>0</v>
      </c>
      <c r="L101" s="26" t="s">
        <v>476</v>
      </c>
      <c r="Z101" s="31">
        <f t="shared" si="49"/>
        <v>0</v>
      </c>
      <c r="AB101" s="31">
        <f t="shared" si="50"/>
        <v>0</v>
      </c>
      <c r="AC101" s="31">
        <f t="shared" si="51"/>
        <v>0</v>
      </c>
      <c r="AD101" s="31">
        <f t="shared" si="52"/>
        <v>0</v>
      </c>
      <c r="AE101" s="31">
        <f t="shared" si="53"/>
        <v>0</v>
      </c>
      <c r="AF101" s="31">
        <f t="shared" si="54"/>
        <v>0</v>
      </c>
      <c r="AG101" s="31">
        <f t="shared" si="55"/>
        <v>0</v>
      </c>
      <c r="AH101" s="31">
        <f t="shared" si="56"/>
        <v>0</v>
      </c>
      <c r="AI101" s="25" t="s">
        <v>487</v>
      </c>
      <c r="AJ101" s="15">
        <f t="shared" si="57"/>
        <v>0</v>
      </c>
      <c r="AK101" s="15">
        <f t="shared" si="58"/>
        <v>0</v>
      </c>
      <c r="AL101" s="15">
        <f t="shared" si="59"/>
        <v>0</v>
      </c>
      <c r="AN101" s="31">
        <v>21</v>
      </c>
      <c r="AO101" s="31">
        <f>H101*0.146010733452594</f>
        <v>0</v>
      </c>
      <c r="AP101" s="31">
        <f>H101*(1-0.146010733452594)</f>
        <v>0</v>
      </c>
      <c r="AQ101" s="26" t="s">
        <v>7</v>
      </c>
      <c r="AV101" s="31">
        <f t="shared" si="60"/>
        <v>0</v>
      </c>
      <c r="AW101" s="31">
        <f t="shared" si="61"/>
        <v>0</v>
      </c>
      <c r="AX101" s="31">
        <f t="shared" si="62"/>
        <v>0</v>
      </c>
      <c r="AY101" s="32" t="s">
        <v>497</v>
      </c>
      <c r="AZ101" s="32" t="s">
        <v>529</v>
      </c>
      <c r="BA101" s="25" t="s">
        <v>541</v>
      </c>
      <c r="BC101" s="31">
        <f t="shared" si="63"/>
        <v>0</v>
      </c>
      <c r="BD101" s="31">
        <f t="shared" si="64"/>
        <v>0</v>
      </c>
      <c r="BE101" s="31">
        <v>0</v>
      </c>
      <c r="BF101" s="31">
        <f>101</f>
        <v>101</v>
      </c>
      <c r="BH101" s="15">
        <f t="shared" si="65"/>
        <v>0</v>
      </c>
      <c r="BI101" s="15">
        <f t="shared" si="66"/>
        <v>0</v>
      </c>
      <c r="BJ101" s="15">
        <f t="shared" si="67"/>
        <v>0</v>
      </c>
    </row>
    <row r="102" spans="1:62" x14ac:dyDescent="0.2">
      <c r="A102" s="5" t="s">
        <v>68</v>
      </c>
      <c r="B102" s="5" t="s">
        <v>228</v>
      </c>
      <c r="C102" s="151" t="s">
        <v>371</v>
      </c>
      <c r="D102" s="152"/>
      <c r="E102" s="152"/>
      <c r="F102" s="5" t="s">
        <v>459</v>
      </c>
      <c r="G102" s="68">
        <v>48.3</v>
      </c>
      <c r="H102" s="16">
        <v>0</v>
      </c>
      <c r="I102" s="16">
        <f t="shared" si="46"/>
        <v>0</v>
      </c>
      <c r="J102" s="16">
        <f t="shared" si="47"/>
        <v>0</v>
      </c>
      <c r="K102" s="16">
        <f t="shared" si="48"/>
        <v>0</v>
      </c>
      <c r="L102" s="27" t="s">
        <v>476</v>
      </c>
      <c r="Z102" s="31">
        <f t="shared" si="49"/>
        <v>0</v>
      </c>
      <c r="AB102" s="31">
        <f t="shared" si="50"/>
        <v>0</v>
      </c>
      <c r="AC102" s="31">
        <f t="shared" si="51"/>
        <v>0</v>
      </c>
      <c r="AD102" s="31">
        <f t="shared" si="52"/>
        <v>0</v>
      </c>
      <c r="AE102" s="31">
        <f t="shared" si="53"/>
        <v>0</v>
      </c>
      <c r="AF102" s="31">
        <f t="shared" si="54"/>
        <v>0</v>
      </c>
      <c r="AG102" s="31">
        <f t="shared" si="55"/>
        <v>0</v>
      </c>
      <c r="AH102" s="31">
        <f t="shared" si="56"/>
        <v>0</v>
      </c>
      <c r="AI102" s="25" t="s">
        <v>487</v>
      </c>
      <c r="AJ102" s="16">
        <f t="shared" si="57"/>
        <v>0</v>
      </c>
      <c r="AK102" s="16">
        <f t="shared" si="58"/>
        <v>0</v>
      </c>
      <c r="AL102" s="16">
        <f t="shared" si="59"/>
        <v>0</v>
      </c>
      <c r="AN102" s="31">
        <v>21</v>
      </c>
      <c r="AO102" s="31">
        <f>H102*1</f>
        <v>0</v>
      </c>
      <c r="AP102" s="31">
        <f>H102*(1-1)</f>
        <v>0</v>
      </c>
      <c r="AQ102" s="27" t="s">
        <v>7</v>
      </c>
      <c r="AV102" s="31">
        <f t="shared" si="60"/>
        <v>0</v>
      </c>
      <c r="AW102" s="31">
        <f t="shared" si="61"/>
        <v>0</v>
      </c>
      <c r="AX102" s="31">
        <f t="shared" si="62"/>
        <v>0</v>
      </c>
      <c r="AY102" s="32" t="s">
        <v>497</v>
      </c>
      <c r="AZ102" s="32" t="s">
        <v>529</v>
      </c>
      <c r="BA102" s="25" t="s">
        <v>541</v>
      </c>
      <c r="BC102" s="31">
        <f t="shared" si="63"/>
        <v>0</v>
      </c>
      <c r="BD102" s="31">
        <f t="shared" si="64"/>
        <v>0</v>
      </c>
      <c r="BE102" s="31">
        <v>0</v>
      </c>
      <c r="BF102" s="31">
        <f>102</f>
        <v>102</v>
      </c>
      <c r="BH102" s="16">
        <f t="shared" si="65"/>
        <v>0</v>
      </c>
      <c r="BI102" s="16">
        <f t="shared" si="66"/>
        <v>0</v>
      </c>
      <c r="BJ102" s="16">
        <f t="shared" si="67"/>
        <v>0</v>
      </c>
    </row>
    <row r="103" spans="1:62" x14ac:dyDescent="0.2">
      <c r="A103" s="4" t="s">
        <v>69</v>
      </c>
      <c r="B103" s="4" t="s">
        <v>229</v>
      </c>
      <c r="C103" s="136" t="s">
        <v>372</v>
      </c>
      <c r="D103" s="137"/>
      <c r="E103" s="137"/>
      <c r="F103" s="4" t="s">
        <v>460</v>
      </c>
      <c r="G103" s="65">
        <v>11.2</v>
      </c>
      <c r="H103" s="15">
        <v>0</v>
      </c>
      <c r="I103" s="15">
        <f t="shared" si="46"/>
        <v>0</v>
      </c>
      <c r="J103" s="15">
        <f t="shared" si="47"/>
        <v>0</v>
      </c>
      <c r="K103" s="15">
        <f t="shared" si="48"/>
        <v>0</v>
      </c>
      <c r="L103" s="26" t="s">
        <v>476</v>
      </c>
      <c r="Z103" s="31">
        <f t="shared" si="49"/>
        <v>0</v>
      </c>
      <c r="AB103" s="31">
        <f t="shared" si="50"/>
        <v>0</v>
      </c>
      <c r="AC103" s="31">
        <f t="shared" si="51"/>
        <v>0</v>
      </c>
      <c r="AD103" s="31">
        <f t="shared" si="52"/>
        <v>0</v>
      </c>
      <c r="AE103" s="31">
        <f t="shared" si="53"/>
        <v>0</v>
      </c>
      <c r="AF103" s="31">
        <f t="shared" si="54"/>
        <v>0</v>
      </c>
      <c r="AG103" s="31">
        <f t="shared" si="55"/>
        <v>0</v>
      </c>
      <c r="AH103" s="31">
        <f t="shared" si="56"/>
        <v>0</v>
      </c>
      <c r="AI103" s="25" t="s">
        <v>487</v>
      </c>
      <c r="AJ103" s="15">
        <f t="shared" si="57"/>
        <v>0</v>
      </c>
      <c r="AK103" s="15">
        <f t="shared" si="58"/>
        <v>0</v>
      </c>
      <c r="AL103" s="15">
        <f t="shared" si="59"/>
        <v>0</v>
      </c>
      <c r="AN103" s="31">
        <v>21</v>
      </c>
      <c r="AO103" s="31">
        <f>H103*0.0575929232674064</f>
        <v>0</v>
      </c>
      <c r="AP103" s="31">
        <f>H103*(1-0.0575929232674064)</f>
        <v>0</v>
      </c>
      <c r="AQ103" s="26" t="s">
        <v>7</v>
      </c>
      <c r="AV103" s="31">
        <f t="shared" si="60"/>
        <v>0</v>
      </c>
      <c r="AW103" s="31">
        <f t="shared" si="61"/>
        <v>0</v>
      </c>
      <c r="AX103" s="31">
        <f t="shared" si="62"/>
        <v>0</v>
      </c>
      <c r="AY103" s="32" t="s">
        <v>497</v>
      </c>
      <c r="AZ103" s="32" t="s">
        <v>529</v>
      </c>
      <c r="BA103" s="25" t="s">
        <v>541</v>
      </c>
      <c r="BC103" s="31">
        <f t="shared" si="63"/>
        <v>0</v>
      </c>
      <c r="BD103" s="31">
        <f t="shared" si="64"/>
        <v>0</v>
      </c>
      <c r="BE103" s="31">
        <v>0</v>
      </c>
      <c r="BF103" s="31">
        <f>103</f>
        <v>103</v>
      </c>
      <c r="BH103" s="15">
        <f t="shared" si="65"/>
        <v>0</v>
      </c>
      <c r="BI103" s="15">
        <f t="shared" si="66"/>
        <v>0</v>
      </c>
      <c r="BJ103" s="15">
        <f t="shared" si="67"/>
        <v>0</v>
      </c>
    </row>
    <row r="104" spans="1:62" x14ac:dyDescent="0.2">
      <c r="A104" s="4" t="s">
        <v>70</v>
      </c>
      <c r="B104" s="4" t="s">
        <v>230</v>
      </c>
      <c r="C104" s="136" t="s">
        <v>373</v>
      </c>
      <c r="D104" s="137"/>
      <c r="E104" s="137"/>
      <c r="F104" s="4" t="s">
        <v>460</v>
      </c>
      <c r="G104" s="65">
        <v>32.049999999999997</v>
      </c>
      <c r="H104" s="15">
        <v>0</v>
      </c>
      <c r="I104" s="15">
        <f t="shared" si="46"/>
        <v>0</v>
      </c>
      <c r="J104" s="15">
        <f t="shared" si="47"/>
        <v>0</v>
      </c>
      <c r="K104" s="15">
        <f t="shared" si="48"/>
        <v>0</v>
      </c>
      <c r="L104" s="26" t="s">
        <v>476</v>
      </c>
      <c r="Z104" s="31">
        <f t="shared" si="49"/>
        <v>0</v>
      </c>
      <c r="AB104" s="31">
        <f t="shared" si="50"/>
        <v>0</v>
      </c>
      <c r="AC104" s="31">
        <f t="shared" si="51"/>
        <v>0</v>
      </c>
      <c r="AD104" s="31">
        <f t="shared" si="52"/>
        <v>0</v>
      </c>
      <c r="AE104" s="31">
        <f t="shared" si="53"/>
        <v>0</v>
      </c>
      <c r="AF104" s="31">
        <f t="shared" si="54"/>
        <v>0</v>
      </c>
      <c r="AG104" s="31">
        <f t="shared" si="55"/>
        <v>0</v>
      </c>
      <c r="AH104" s="31">
        <f t="shared" si="56"/>
        <v>0</v>
      </c>
      <c r="AI104" s="25" t="s">
        <v>487</v>
      </c>
      <c r="AJ104" s="15">
        <f t="shared" si="57"/>
        <v>0</v>
      </c>
      <c r="AK104" s="15">
        <f t="shared" si="58"/>
        <v>0</v>
      </c>
      <c r="AL104" s="15">
        <f t="shared" si="59"/>
        <v>0</v>
      </c>
      <c r="AN104" s="31">
        <v>21</v>
      </c>
      <c r="AO104" s="31">
        <f>H104*0.941959558823529</f>
        <v>0</v>
      </c>
      <c r="AP104" s="31">
        <f>H104*(1-0.941959558823529)</f>
        <v>0</v>
      </c>
      <c r="AQ104" s="26" t="s">
        <v>7</v>
      </c>
      <c r="AV104" s="31">
        <f t="shared" si="60"/>
        <v>0</v>
      </c>
      <c r="AW104" s="31">
        <f t="shared" si="61"/>
        <v>0</v>
      </c>
      <c r="AX104" s="31">
        <f t="shared" si="62"/>
        <v>0</v>
      </c>
      <c r="AY104" s="32" t="s">
        <v>497</v>
      </c>
      <c r="AZ104" s="32" t="s">
        <v>529</v>
      </c>
      <c r="BA104" s="25" t="s">
        <v>541</v>
      </c>
      <c r="BC104" s="31">
        <f t="shared" si="63"/>
        <v>0</v>
      </c>
      <c r="BD104" s="31">
        <f t="shared" si="64"/>
        <v>0</v>
      </c>
      <c r="BE104" s="31">
        <v>0</v>
      </c>
      <c r="BF104" s="31">
        <f>104</f>
        <v>104</v>
      </c>
      <c r="BH104" s="15">
        <f t="shared" si="65"/>
        <v>0</v>
      </c>
      <c r="BI104" s="15">
        <f t="shared" si="66"/>
        <v>0</v>
      </c>
      <c r="BJ104" s="15">
        <f t="shared" si="67"/>
        <v>0</v>
      </c>
    </row>
    <row r="105" spans="1:62" x14ac:dyDescent="0.2">
      <c r="A105" s="4" t="s">
        <v>71</v>
      </c>
      <c r="B105" s="4" t="s">
        <v>231</v>
      </c>
      <c r="C105" s="136" t="s">
        <v>374</v>
      </c>
      <c r="D105" s="137"/>
      <c r="E105" s="137"/>
      <c r="F105" s="4" t="s">
        <v>456</v>
      </c>
      <c r="G105" s="65">
        <v>3</v>
      </c>
      <c r="H105" s="15">
        <v>0</v>
      </c>
      <c r="I105" s="15">
        <f t="shared" si="46"/>
        <v>0</v>
      </c>
      <c r="J105" s="15">
        <f t="shared" si="47"/>
        <v>0</v>
      </c>
      <c r="K105" s="15">
        <f t="shared" si="48"/>
        <v>0</v>
      </c>
      <c r="L105" s="26" t="s">
        <v>476</v>
      </c>
      <c r="Z105" s="31">
        <f t="shared" si="49"/>
        <v>0</v>
      </c>
      <c r="AB105" s="31">
        <f t="shared" si="50"/>
        <v>0</v>
      </c>
      <c r="AC105" s="31">
        <f t="shared" si="51"/>
        <v>0</v>
      </c>
      <c r="AD105" s="31">
        <f t="shared" si="52"/>
        <v>0</v>
      </c>
      <c r="AE105" s="31">
        <f t="shared" si="53"/>
        <v>0</v>
      </c>
      <c r="AF105" s="31">
        <f t="shared" si="54"/>
        <v>0</v>
      </c>
      <c r="AG105" s="31">
        <f t="shared" si="55"/>
        <v>0</v>
      </c>
      <c r="AH105" s="31">
        <f t="shared" si="56"/>
        <v>0</v>
      </c>
      <c r="AI105" s="25" t="s">
        <v>487</v>
      </c>
      <c r="AJ105" s="15">
        <f t="shared" si="57"/>
        <v>0</v>
      </c>
      <c r="AK105" s="15">
        <f t="shared" si="58"/>
        <v>0</v>
      </c>
      <c r="AL105" s="15">
        <f t="shared" si="59"/>
        <v>0</v>
      </c>
      <c r="AN105" s="31">
        <v>21</v>
      </c>
      <c r="AO105" s="31">
        <f>H105*0.986858490566038</f>
        <v>0</v>
      </c>
      <c r="AP105" s="31">
        <f>H105*(1-0.986858490566038)</f>
        <v>0</v>
      </c>
      <c r="AQ105" s="26" t="s">
        <v>7</v>
      </c>
      <c r="AV105" s="31">
        <f t="shared" si="60"/>
        <v>0</v>
      </c>
      <c r="AW105" s="31">
        <f t="shared" si="61"/>
        <v>0</v>
      </c>
      <c r="AX105" s="31">
        <f t="shared" si="62"/>
        <v>0</v>
      </c>
      <c r="AY105" s="32" t="s">
        <v>497</v>
      </c>
      <c r="AZ105" s="32" t="s">
        <v>529</v>
      </c>
      <c r="BA105" s="25" t="s">
        <v>541</v>
      </c>
      <c r="BC105" s="31">
        <f t="shared" si="63"/>
        <v>0</v>
      </c>
      <c r="BD105" s="31">
        <f t="shared" si="64"/>
        <v>0</v>
      </c>
      <c r="BE105" s="31">
        <v>0</v>
      </c>
      <c r="BF105" s="31">
        <f>105</f>
        <v>105</v>
      </c>
      <c r="BH105" s="15">
        <f t="shared" si="65"/>
        <v>0</v>
      </c>
      <c r="BI105" s="15">
        <f t="shared" si="66"/>
        <v>0</v>
      </c>
      <c r="BJ105" s="15">
        <f t="shared" si="67"/>
        <v>0</v>
      </c>
    </row>
    <row r="106" spans="1:62" x14ac:dyDescent="0.2">
      <c r="A106" s="3"/>
      <c r="B106" s="11" t="s">
        <v>66</v>
      </c>
      <c r="C106" s="134" t="s">
        <v>316</v>
      </c>
      <c r="D106" s="135"/>
      <c r="E106" s="135"/>
      <c r="F106" s="3" t="s">
        <v>6</v>
      </c>
      <c r="G106" s="3" t="s">
        <v>6</v>
      </c>
      <c r="H106" s="3" t="s">
        <v>6</v>
      </c>
      <c r="I106" s="33">
        <f>SUM(I107:I113)</f>
        <v>0</v>
      </c>
      <c r="J106" s="33">
        <f>SUM(J107:J113)</f>
        <v>0</v>
      </c>
      <c r="K106" s="33">
        <f>SUM(K107:K113)</f>
        <v>0</v>
      </c>
      <c r="L106" s="25"/>
      <c r="AI106" s="25" t="s">
        <v>487</v>
      </c>
      <c r="AS106" s="33">
        <f>SUM(AJ107:AJ113)</f>
        <v>0</v>
      </c>
      <c r="AT106" s="33">
        <f>SUM(AK107:AK113)</f>
        <v>0</v>
      </c>
      <c r="AU106" s="33">
        <f>SUM(AL107:AL113)</f>
        <v>0</v>
      </c>
    </row>
    <row r="107" spans="1:62" x14ac:dyDescent="0.2">
      <c r="A107" s="4" t="s">
        <v>72</v>
      </c>
      <c r="B107" s="4" t="s">
        <v>182</v>
      </c>
      <c r="C107" s="136" t="s">
        <v>375</v>
      </c>
      <c r="D107" s="137"/>
      <c r="E107" s="137"/>
      <c r="F107" s="4" t="s">
        <v>459</v>
      </c>
      <c r="G107" s="65">
        <v>59.91</v>
      </c>
      <c r="H107" s="15">
        <v>0</v>
      </c>
      <c r="I107" s="15">
        <f t="shared" ref="I107:I113" si="68">G107*AO107</f>
        <v>0</v>
      </c>
      <c r="J107" s="15">
        <f t="shared" ref="J107:J113" si="69">G107*AP107</f>
        <v>0</v>
      </c>
      <c r="K107" s="15">
        <f t="shared" ref="K107:K113" si="70">G107*H107</f>
        <v>0</v>
      </c>
      <c r="L107" s="26" t="s">
        <v>476</v>
      </c>
      <c r="Z107" s="31">
        <f t="shared" ref="Z107:Z113" si="71">IF(AQ107="5",BJ107,0)</f>
        <v>0</v>
      </c>
      <c r="AB107" s="31">
        <f t="shared" ref="AB107:AB113" si="72">IF(AQ107="1",BH107,0)</f>
        <v>0</v>
      </c>
      <c r="AC107" s="31">
        <f t="shared" ref="AC107:AC113" si="73">IF(AQ107="1",BI107,0)</f>
        <v>0</v>
      </c>
      <c r="AD107" s="31">
        <f t="shared" ref="AD107:AD113" si="74">IF(AQ107="7",BH107,0)</f>
        <v>0</v>
      </c>
      <c r="AE107" s="31">
        <f t="shared" ref="AE107:AE113" si="75">IF(AQ107="7",BI107,0)</f>
        <v>0</v>
      </c>
      <c r="AF107" s="31">
        <f t="shared" ref="AF107:AF113" si="76">IF(AQ107="2",BH107,0)</f>
        <v>0</v>
      </c>
      <c r="AG107" s="31">
        <f t="shared" ref="AG107:AG113" si="77">IF(AQ107="2",BI107,0)</f>
        <v>0</v>
      </c>
      <c r="AH107" s="31">
        <f t="shared" ref="AH107:AH113" si="78">IF(AQ107="0",BJ107,0)</f>
        <v>0</v>
      </c>
      <c r="AI107" s="25" t="s">
        <v>487</v>
      </c>
      <c r="AJ107" s="15">
        <f t="shared" ref="AJ107:AJ113" si="79">IF(AN107=0,K107,0)</f>
        <v>0</v>
      </c>
      <c r="AK107" s="15">
        <f t="shared" ref="AK107:AK113" si="80">IF(AN107=15,K107,0)</f>
        <v>0</v>
      </c>
      <c r="AL107" s="15">
        <f t="shared" ref="AL107:AL113" si="81">IF(AN107=21,K107,0)</f>
        <v>0</v>
      </c>
      <c r="AN107" s="31">
        <v>21</v>
      </c>
      <c r="AO107" s="31">
        <f>H107*0.339925341210708</f>
        <v>0</v>
      </c>
      <c r="AP107" s="31">
        <f>H107*(1-0.339925341210708)</f>
        <v>0</v>
      </c>
      <c r="AQ107" s="26" t="s">
        <v>7</v>
      </c>
      <c r="AV107" s="31">
        <f t="shared" ref="AV107:AV113" si="82">AW107+AX107</f>
        <v>0</v>
      </c>
      <c r="AW107" s="31">
        <f t="shared" ref="AW107:AW113" si="83">G107*AO107</f>
        <v>0</v>
      </c>
      <c r="AX107" s="31">
        <f t="shared" ref="AX107:AX113" si="84">G107*AP107</f>
        <v>0</v>
      </c>
      <c r="AY107" s="32" t="s">
        <v>498</v>
      </c>
      <c r="AZ107" s="32" t="s">
        <v>530</v>
      </c>
      <c r="BA107" s="25" t="s">
        <v>541</v>
      </c>
      <c r="BC107" s="31">
        <f t="shared" ref="BC107:BC113" si="85">AW107+AX107</f>
        <v>0</v>
      </c>
      <c r="BD107" s="31">
        <f t="shared" ref="BD107:BD113" si="86">H107/(100-BE107)*100</f>
        <v>0</v>
      </c>
      <c r="BE107" s="31">
        <v>0</v>
      </c>
      <c r="BF107" s="31">
        <f>107</f>
        <v>107</v>
      </c>
      <c r="BH107" s="15">
        <f t="shared" ref="BH107:BH113" si="87">G107*AO107</f>
        <v>0</v>
      </c>
      <c r="BI107" s="15">
        <f t="shared" ref="BI107:BI113" si="88">G107*AP107</f>
        <v>0</v>
      </c>
      <c r="BJ107" s="15">
        <f t="shared" ref="BJ107:BJ113" si="89">G107*H107</f>
        <v>0</v>
      </c>
    </row>
    <row r="108" spans="1:62" x14ac:dyDescent="0.2">
      <c r="A108" s="4" t="s">
        <v>73</v>
      </c>
      <c r="B108" s="4" t="s">
        <v>232</v>
      </c>
      <c r="C108" s="136" t="s">
        <v>376</v>
      </c>
      <c r="D108" s="137"/>
      <c r="E108" s="137"/>
      <c r="F108" s="4" t="s">
        <v>459</v>
      </c>
      <c r="G108" s="65">
        <v>59.91</v>
      </c>
      <c r="H108" s="15">
        <v>0</v>
      </c>
      <c r="I108" s="15">
        <f t="shared" si="68"/>
        <v>0</v>
      </c>
      <c r="J108" s="15">
        <f t="shared" si="69"/>
        <v>0</v>
      </c>
      <c r="K108" s="15">
        <f t="shared" si="70"/>
        <v>0</v>
      </c>
      <c r="L108" s="26" t="s">
        <v>476</v>
      </c>
      <c r="Z108" s="31">
        <f t="shared" si="71"/>
        <v>0</v>
      </c>
      <c r="AB108" s="31">
        <f t="shared" si="72"/>
        <v>0</v>
      </c>
      <c r="AC108" s="31">
        <f t="shared" si="73"/>
        <v>0</v>
      </c>
      <c r="AD108" s="31">
        <f t="shared" si="74"/>
        <v>0</v>
      </c>
      <c r="AE108" s="31">
        <f t="shared" si="75"/>
        <v>0</v>
      </c>
      <c r="AF108" s="31">
        <f t="shared" si="76"/>
        <v>0</v>
      </c>
      <c r="AG108" s="31">
        <f t="shared" si="77"/>
        <v>0</v>
      </c>
      <c r="AH108" s="31">
        <f t="shared" si="78"/>
        <v>0</v>
      </c>
      <c r="AI108" s="25" t="s">
        <v>487</v>
      </c>
      <c r="AJ108" s="15">
        <f t="shared" si="79"/>
        <v>0</v>
      </c>
      <c r="AK108" s="15">
        <f t="shared" si="80"/>
        <v>0</v>
      </c>
      <c r="AL108" s="15">
        <f t="shared" si="81"/>
        <v>0</v>
      </c>
      <c r="AN108" s="31">
        <v>21</v>
      </c>
      <c r="AO108" s="31">
        <f>H108*0.410232841959413</f>
        <v>0</v>
      </c>
      <c r="AP108" s="31">
        <f>H108*(1-0.410232841959413)</f>
        <v>0</v>
      </c>
      <c r="AQ108" s="26" t="s">
        <v>7</v>
      </c>
      <c r="AV108" s="31">
        <f t="shared" si="82"/>
        <v>0</v>
      </c>
      <c r="AW108" s="31">
        <f t="shared" si="83"/>
        <v>0</v>
      </c>
      <c r="AX108" s="31">
        <f t="shared" si="84"/>
        <v>0</v>
      </c>
      <c r="AY108" s="32" t="s">
        <v>498</v>
      </c>
      <c r="AZ108" s="32" t="s">
        <v>530</v>
      </c>
      <c r="BA108" s="25" t="s">
        <v>541</v>
      </c>
      <c r="BC108" s="31">
        <f t="shared" si="85"/>
        <v>0</v>
      </c>
      <c r="BD108" s="31">
        <f t="shared" si="86"/>
        <v>0</v>
      </c>
      <c r="BE108" s="31">
        <v>0</v>
      </c>
      <c r="BF108" s="31">
        <f>108</f>
        <v>108</v>
      </c>
      <c r="BH108" s="15">
        <f t="shared" si="87"/>
        <v>0</v>
      </c>
      <c r="BI108" s="15">
        <f t="shared" si="88"/>
        <v>0</v>
      </c>
      <c r="BJ108" s="15">
        <f t="shared" si="89"/>
        <v>0</v>
      </c>
    </row>
    <row r="109" spans="1:62" x14ac:dyDescent="0.2">
      <c r="A109" s="4" t="s">
        <v>74</v>
      </c>
      <c r="B109" s="4" t="s">
        <v>233</v>
      </c>
      <c r="C109" s="136" t="s">
        <v>377</v>
      </c>
      <c r="D109" s="137"/>
      <c r="E109" s="137"/>
      <c r="F109" s="4" t="s">
        <v>459</v>
      </c>
      <c r="G109" s="65">
        <v>59.91</v>
      </c>
      <c r="H109" s="15">
        <v>0</v>
      </c>
      <c r="I109" s="15">
        <f t="shared" si="68"/>
        <v>0</v>
      </c>
      <c r="J109" s="15">
        <f t="shared" si="69"/>
        <v>0</v>
      </c>
      <c r="K109" s="15">
        <f t="shared" si="70"/>
        <v>0</v>
      </c>
      <c r="L109" s="26" t="s">
        <v>476</v>
      </c>
      <c r="Z109" s="31">
        <f t="shared" si="71"/>
        <v>0</v>
      </c>
      <c r="AB109" s="31">
        <f t="shared" si="72"/>
        <v>0</v>
      </c>
      <c r="AC109" s="31">
        <f t="shared" si="73"/>
        <v>0</v>
      </c>
      <c r="AD109" s="31">
        <f t="shared" si="74"/>
        <v>0</v>
      </c>
      <c r="AE109" s="31">
        <f t="shared" si="75"/>
        <v>0</v>
      </c>
      <c r="AF109" s="31">
        <f t="shared" si="76"/>
        <v>0</v>
      </c>
      <c r="AG109" s="31">
        <f t="shared" si="77"/>
        <v>0</v>
      </c>
      <c r="AH109" s="31">
        <f t="shared" si="78"/>
        <v>0</v>
      </c>
      <c r="AI109" s="25" t="s">
        <v>487</v>
      </c>
      <c r="AJ109" s="15">
        <f t="shared" si="79"/>
        <v>0</v>
      </c>
      <c r="AK109" s="15">
        <f t="shared" si="80"/>
        <v>0</v>
      </c>
      <c r="AL109" s="15">
        <f t="shared" si="81"/>
        <v>0</v>
      </c>
      <c r="AN109" s="31">
        <v>21</v>
      </c>
      <c r="AO109" s="31">
        <f>H109*0.367644483263569</f>
        <v>0</v>
      </c>
      <c r="AP109" s="31">
        <f>H109*(1-0.367644483263569)</f>
        <v>0</v>
      </c>
      <c r="AQ109" s="26" t="s">
        <v>7</v>
      </c>
      <c r="AV109" s="31">
        <f t="shared" si="82"/>
        <v>0</v>
      </c>
      <c r="AW109" s="31">
        <f t="shared" si="83"/>
        <v>0</v>
      </c>
      <c r="AX109" s="31">
        <f t="shared" si="84"/>
        <v>0</v>
      </c>
      <c r="AY109" s="32" t="s">
        <v>498</v>
      </c>
      <c r="AZ109" s="32" t="s">
        <v>530</v>
      </c>
      <c r="BA109" s="25" t="s">
        <v>541</v>
      </c>
      <c r="BC109" s="31">
        <f t="shared" si="85"/>
        <v>0</v>
      </c>
      <c r="BD109" s="31">
        <f t="shared" si="86"/>
        <v>0</v>
      </c>
      <c r="BE109" s="31">
        <v>0</v>
      </c>
      <c r="BF109" s="31">
        <f>109</f>
        <v>109</v>
      </c>
      <c r="BH109" s="15">
        <f t="shared" si="87"/>
        <v>0</v>
      </c>
      <c r="BI109" s="15">
        <f t="shared" si="88"/>
        <v>0</v>
      </c>
      <c r="BJ109" s="15">
        <f t="shared" si="89"/>
        <v>0</v>
      </c>
    </row>
    <row r="110" spans="1:62" x14ac:dyDescent="0.2">
      <c r="A110" s="4" t="s">
        <v>75</v>
      </c>
      <c r="B110" s="4" t="s">
        <v>234</v>
      </c>
      <c r="C110" s="136" t="s">
        <v>378</v>
      </c>
      <c r="D110" s="137"/>
      <c r="E110" s="137"/>
      <c r="F110" s="4" t="s">
        <v>459</v>
      </c>
      <c r="G110" s="65">
        <v>10.875</v>
      </c>
      <c r="H110" s="15">
        <v>0</v>
      </c>
      <c r="I110" s="15">
        <f t="shared" si="68"/>
        <v>0</v>
      </c>
      <c r="J110" s="15">
        <f t="shared" si="69"/>
        <v>0</v>
      </c>
      <c r="K110" s="15">
        <f t="shared" si="70"/>
        <v>0</v>
      </c>
      <c r="L110" s="26" t="s">
        <v>476</v>
      </c>
      <c r="Z110" s="31">
        <f t="shared" si="71"/>
        <v>0</v>
      </c>
      <c r="AB110" s="31">
        <f t="shared" si="72"/>
        <v>0</v>
      </c>
      <c r="AC110" s="31">
        <f t="shared" si="73"/>
        <v>0</v>
      </c>
      <c r="AD110" s="31">
        <f t="shared" si="74"/>
        <v>0</v>
      </c>
      <c r="AE110" s="31">
        <f t="shared" si="75"/>
        <v>0</v>
      </c>
      <c r="AF110" s="31">
        <f t="shared" si="76"/>
        <v>0</v>
      </c>
      <c r="AG110" s="31">
        <f t="shared" si="77"/>
        <v>0</v>
      </c>
      <c r="AH110" s="31">
        <f t="shared" si="78"/>
        <v>0</v>
      </c>
      <c r="AI110" s="25" t="s">
        <v>487</v>
      </c>
      <c r="AJ110" s="15">
        <f t="shared" si="79"/>
        <v>0</v>
      </c>
      <c r="AK110" s="15">
        <f t="shared" si="80"/>
        <v>0</v>
      </c>
      <c r="AL110" s="15">
        <f t="shared" si="81"/>
        <v>0</v>
      </c>
      <c r="AN110" s="31">
        <v>21</v>
      </c>
      <c r="AO110" s="31">
        <f>H110*0.36015942396982</f>
        <v>0</v>
      </c>
      <c r="AP110" s="31">
        <f>H110*(1-0.36015942396982)</f>
        <v>0</v>
      </c>
      <c r="AQ110" s="26" t="s">
        <v>7</v>
      </c>
      <c r="AV110" s="31">
        <f t="shared" si="82"/>
        <v>0</v>
      </c>
      <c r="AW110" s="31">
        <f t="shared" si="83"/>
        <v>0</v>
      </c>
      <c r="AX110" s="31">
        <f t="shared" si="84"/>
        <v>0</v>
      </c>
      <c r="AY110" s="32" t="s">
        <v>498</v>
      </c>
      <c r="AZ110" s="32" t="s">
        <v>530</v>
      </c>
      <c r="BA110" s="25" t="s">
        <v>541</v>
      </c>
      <c r="BC110" s="31">
        <f t="shared" si="85"/>
        <v>0</v>
      </c>
      <c r="BD110" s="31">
        <f t="shared" si="86"/>
        <v>0</v>
      </c>
      <c r="BE110" s="31">
        <v>0</v>
      </c>
      <c r="BF110" s="31">
        <f>110</f>
        <v>110</v>
      </c>
      <c r="BH110" s="15">
        <f t="shared" si="87"/>
        <v>0</v>
      </c>
      <c r="BI110" s="15">
        <f t="shared" si="88"/>
        <v>0</v>
      </c>
      <c r="BJ110" s="15">
        <f t="shared" si="89"/>
        <v>0</v>
      </c>
    </row>
    <row r="111" spans="1:62" x14ac:dyDescent="0.2">
      <c r="A111" s="4" t="s">
        <v>76</v>
      </c>
      <c r="B111" s="4" t="s">
        <v>235</v>
      </c>
      <c r="C111" s="136" t="s">
        <v>379</v>
      </c>
      <c r="D111" s="137"/>
      <c r="E111" s="137"/>
      <c r="F111" s="4" t="s">
        <v>459</v>
      </c>
      <c r="G111" s="65">
        <v>10.875</v>
      </c>
      <c r="H111" s="15">
        <v>0</v>
      </c>
      <c r="I111" s="15">
        <f t="shared" si="68"/>
        <v>0</v>
      </c>
      <c r="J111" s="15">
        <f t="shared" si="69"/>
        <v>0</v>
      </c>
      <c r="K111" s="15">
        <f t="shared" si="70"/>
        <v>0</v>
      </c>
      <c r="L111" s="26" t="s">
        <v>476</v>
      </c>
      <c r="Z111" s="31">
        <f t="shared" si="71"/>
        <v>0</v>
      </c>
      <c r="AB111" s="31">
        <f t="shared" si="72"/>
        <v>0</v>
      </c>
      <c r="AC111" s="31">
        <f t="shared" si="73"/>
        <v>0</v>
      </c>
      <c r="AD111" s="31">
        <f t="shared" si="74"/>
        <v>0</v>
      </c>
      <c r="AE111" s="31">
        <f t="shared" si="75"/>
        <v>0</v>
      </c>
      <c r="AF111" s="31">
        <f t="shared" si="76"/>
        <v>0</v>
      </c>
      <c r="AG111" s="31">
        <f t="shared" si="77"/>
        <v>0</v>
      </c>
      <c r="AH111" s="31">
        <f t="shared" si="78"/>
        <v>0</v>
      </c>
      <c r="AI111" s="25" t="s">
        <v>487</v>
      </c>
      <c r="AJ111" s="15">
        <f t="shared" si="79"/>
        <v>0</v>
      </c>
      <c r="AK111" s="15">
        <f t="shared" si="80"/>
        <v>0</v>
      </c>
      <c r="AL111" s="15">
        <f t="shared" si="81"/>
        <v>0</v>
      </c>
      <c r="AN111" s="31">
        <v>21</v>
      </c>
      <c r="AO111" s="31">
        <f>H111*0.700048414581827</f>
        <v>0</v>
      </c>
      <c r="AP111" s="31">
        <f>H111*(1-0.700048414581827)</f>
        <v>0</v>
      </c>
      <c r="AQ111" s="26" t="s">
        <v>7</v>
      </c>
      <c r="AV111" s="31">
        <f t="shared" si="82"/>
        <v>0</v>
      </c>
      <c r="AW111" s="31">
        <f t="shared" si="83"/>
        <v>0</v>
      </c>
      <c r="AX111" s="31">
        <f t="shared" si="84"/>
        <v>0</v>
      </c>
      <c r="AY111" s="32" t="s">
        <v>498</v>
      </c>
      <c r="AZ111" s="32" t="s">
        <v>530</v>
      </c>
      <c r="BA111" s="25" t="s">
        <v>541</v>
      </c>
      <c r="BC111" s="31">
        <f t="shared" si="85"/>
        <v>0</v>
      </c>
      <c r="BD111" s="31">
        <f t="shared" si="86"/>
        <v>0</v>
      </c>
      <c r="BE111" s="31">
        <v>0</v>
      </c>
      <c r="BF111" s="31">
        <f>111</f>
        <v>111</v>
      </c>
      <c r="BH111" s="15">
        <f t="shared" si="87"/>
        <v>0</v>
      </c>
      <c r="BI111" s="15">
        <f t="shared" si="88"/>
        <v>0</v>
      </c>
      <c r="BJ111" s="15">
        <f t="shared" si="89"/>
        <v>0</v>
      </c>
    </row>
    <row r="112" spans="1:62" x14ac:dyDescent="0.2">
      <c r="A112" s="4" t="s">
        <v>77</v>
      </c>
      <c r="B112" s="4" t="s">
        <v>236</v>
      </c>
      <c r="C112" s="136" t="s">
        <v>380</v>
      </c>
      <c r="D112" s="137"/>
      <c r="E112" s="137"/>
      <c r="F112" s="4" t="s">
        <v>459</v>
      </c>
      <c r="G112" s="65">
        <v>59.91</v>
      </c>
      <c r="H112" s="15">
        <v>0</v>
      </c>
      <c r="I112" s="15">
        <f t="shared" si="68"/>
        <v>0</v>
      </c>
      <c r="J112" s="15">
        <f t="shared" si="69"/>
        <v>0</v>
      </c>
      <c r="K112" s="15">
        <f t="shared" si="70"/>
        <v>0</v>
      </c>
      <c r="L112" s="26" t="s">
        <v>476</v>
      </c>
      <c r="Z112" s="31">
        <f t="shared" si="71"/>
        <v>0</v>
      </c>
      <c r="AB112" s="31">
        <f t="shared" si="72"/>
        <v>0</v>
      </c>
      <c r="AC112" s="31">
        <f t="shared" si="73"/>
        <v>0</v>
      </c>
      <c r="AD112" s="31">
        <f t="shared" si="74"/>
        <v>0</v>
      </c>
      <c r="AE112" s="31">
        <f t="shared" si="75"/>
        <v>0</v>
      </c>
      <c r="AF112" s="31">
        <f t="shared" si="76"/>
        <v>0</v>
      </c>
      <c r="AG112" s="31">
        <f t="shared" si="77"/>
        <v>0</v>
      </c>
      <c r="AH112" s="31">
        <f t="shared" si="78"/>
        <v>0</v>
      </c>
      <c r="AI112" s="25" t="s">
        <v>487</v>
      </c>
      <c r="AJ112" s="15">
        <f t="shared" si="79"/>
        <v>0</v>
      </c>
      <c r="AK112" s="15">
        <f t="shared" si="80"/>
        <v>0</v>
      </c>
      <c r="AL112" s="15">
        <f t="shared" si="81"/>
        <v>0</v>
      </c>
      <c r="AN112" s="31">
        <v>21</v>
      </c>
      <c r="AO112" s="31">
        <f>H112*0.300972491679519</f>
        <v>0</v>
      </c>
      <c r="AP112" s="31">
        <f>H112*(1-0.300972491679519)</f>
        <v>0</v>
      </c>
      <c r="AQ112" s="26" t="s">
        <v>7</v>
      </c>
      <c r="AV112" s="31">
        <f t="shared" si="82"/>
        <v>0</v>
      </c>
      <c r="AW112" s="31">
        <f t="shared" si="83"/>
        <v>0</v>
      </c>
      <c r="AX112" s="31">
        <f t="shared" si="84"/>
        <v>0</v>
      </c>
      <c r="AY112" s="32" t="s">
        <v>498</v>
      </c>
      <c r="AZ112" s="32" t="s">
        <v>530</v>
      </c>
      <c r="BA112" s="25" t="s">
        <v>541</v>
      </c>
      <c r="BC112" s="31">
        <f t="shared" si="85"/>
        <v>0</v>
      </c>
      <c r="BD112" s="31">
        <f t="shared" si="86"/>
        <v>0</v>
      </c>
      <c r="BE112" s="31">
        <v>0</v>
      </c>
      <c r="BF112" s="31">
        <f>112</f>
        <v>112</v>
      </c>
      <c r="BH112" s="15">
        <f t="shared" si="87"/>
        <v>0</v>
      </c>
      <c r="BI112" s="15">
        <f t="shared" si="88"/>
        <v>0</v>
      </c>
      <c r="BJ112" s="15">
        <f t="shared" si="89"/>
        <v>0</v>
      </c>
    </row>
    <row r="113" spans="1:62" x14ac:dyDescent="0.2">
      <c r="A113" s="4" t="s">
        <v>78</v>
      </c>
      <c r="B113" s="4" t="s">
        <v>237</v>
      </c>
      <c r="C113" s="136" t="s">
        <v>381</v>
      </c>
      <c r="D113" s="137"/>
      <c r="E113" s="137"/>
      <c r="F113" s="4" t="s">
        <v>459</v>
      </c>
      <c r="G113" s="65">
        <v>49.034999999999997</v>
      </c>
      <c r="H113" s="15">
        <v>0</v>
      </c>
      <c r="I113" s="15">
        <f t="shared" si="68"/>
        <v>0</v>
      </c>
      <c r="J113" s="15">
        <f t="shared" si="69"/>
        <v>0</v>
      </c>
      <c r="K113" s="15">
        <f t="shared" si="70"/>
        <v>0</v>
      </c>
      <c r="L113" s="26" t="s">
        <v>476</v>
      </c>
      <c r="Z113" s="31">
        <f t="shared" si="71"/>
        <v>0</v>
      </c>
      <c r="AB113" s="31">
        <f t="shared" si="72"/>
        <v>0</v>
      </c>
      <c r="AC113" s="31">
        <f t="shared" si="73"/>
        <v>0</v>
      </c>
      <c r="AD113" s="31">
        <f t="shared" si="74"/>
        <v>0</v>
      </c>
      <c r="AE113" s="31">
        <f t="shared" si="75"/>
        <v>0</v>
      </c>
      <c r="AF113" s="31">
        <f t="shared" si="76"/>
        <v>0</v>
      </c>
      <c r="AG113" s="31">
        <f t="shared" si="77"/>
        <v>0</v>
      </c>
      <c r="AH113" s="31">
        <f t="shared" si="78"/>
        <v>0</v>
      </c>
      <c r="AI113" s="25" t="s">
        <v>487</v>
      </c>
      <c r="AJ113" s="15">
        <f t="shared" si="79"/>
        <v>0</v>
      </c>
      <c r="AK113" s="15">
        <f t="shared" si="80"/>
        <v>0</v>
      </c>
      <c r="AL113" s="15">
        <f t="shared" si="81"/>
        <v>0</v>
      </c>
      <c r="AN113" s="31">
        <v>21</v>
      </c>
      <c r="AO113" s="31">
        <f>H113*0.302484661553027</f>
        <v>0</v>
      </c>
      <c r="AP113" s="31">
        <f>H113*(1-0.302484661553027)</f>
        <v>0</v>
      </c>
      <c r="AQ113" s="26" t="s">
        <v>7</v>
      </c>
      <c r="AV113" s="31">
        <f t="shared" si="82"/>
        <v>0</v>
      </c>
      <c r="AW113" s="31">
        <f t="shared" si="83"/>
        <v>0</v>
      </c>
      <c r="AX113" s="31">
        <f t="shared" si="84"/>
        <v>0</v>
      </c>
      <c r="AY113" s="32" t="s">
        <v>498</v>
      </c>
      <c r="AZ113" s="32" t="s">
        <v>530</v>
      </c>
      <c r="BA113" s="25" t="s">
        <v>541</v>
      </c>
      <c r="BC113" s="31">
        <f t="shared" si="85"/>
        <v>0</v>
      </c>
      <c r="BD113" s="31">
        <f t="shared" si="86"/>
        <v>0</v>
      </c>
      <c r="BE113" s="31">
        <v>0</v>
      </c>
      <c r="BF113" s="31">
        <f>113</f>
        <v>113</v>
      </c>
      <c r="BH113" s="15">
        <f t="shared" si="87"/>
        <v>0</v>
      </c>
      <c r="BI113" s="15">
        <f t="shared" si="88"/>
        <v>0</v>
      </c>
      <c r="BJ113" s="15">
        <f t="shared" si="89"/>
        <v>0</v>
      </c>
    </row>
    <row r="114" spans="1:62" x14ac:dyDescent="0.2">
      <c r="A114" s="3"/>
      <c r="B114" s="11" t="s">
        <v>67</v>
      </c>
      <c r="C114" s="134" t="s">
        <v>382</v>
      </c>
      <c r="D114" s="135"/>
      <c r="E114" s="135"/>
      <c r="F114" s="3" t="s">
        <v>6</v>
      </c>
      <c r="G114" s="3" t="s">
        <v>6</v>
      </c>
      <c r="H114" s="3" t="s">
        <v>6</v>
      </c>
      <c r="I114" s="33">
        <f>SUM(I115:I115)</f>
        <v>0</v>
      </c>
      <c r="J114" s="33">
        <f>SUM(J115:J115)</f>
        <v>0</v>
      </c>
      <c r="K114" s="33">
        <f>SUM(K115:K115)</f>
        <v>0</v>
      </c>
      <c r="L114" s="25"/>
      <c r="AI114" s="25" t="s">
        <v>487</v>
      </c>
      <c r="AS114" s="33">
        <f>SUM(AJ115:AJ115)</f>
        <v>0</v>
      </c>
      <c r="AT114" s="33">
        <f>SUM(AK115:AK115)</f>
        <v>0</v>
      </c>
      <c r="AU114" s="33">
        <f>SUM(AL115:AL115)</f>
        <v>0</v>
      </c>
    </row>
    <row r="115" spans="1:62" x14ac:dyDescent="0.2">
      <c r="A115" s="4" t="s">
        <v>79</v>
      </c>
      <c r="B115" s="4" t="s">
        <v>238</v>
      </c>
      <c r="C115" s="136" t="s">
        <v>383</v>
      </c>
      <c r="D115" s="137"/>
      <c r="E115" s="137"/>
      <c r="F115" s="4" t="s">
        <v>460</v>
      </c>
      <c r="G115" s="65">
        <v>36.825000000000003</v>
      </c>
      <c r="H115" s="15">
        <v>0</v>
      </c>
      <c r="I115" s="15">
        <f>G115*AO115</f>
        <v>0</v>
      </c>
      <c r="J115" s="15">
        <f>G115*AP115</f>
        <v>0</v>
      </c>
      <c r="K115" s="15">
        <f>G115*H115</f>
        <v>0</v>
      </c>
      <c r="L115" s="26" t="s">
        <v>476</v>
      </c>
      <c r="Z115" s="31">
        <f>IF(AQ115="5",BJ115,0)</f>
        <v>0</v>
      </c>
      <c r="AB115" s="31">
        <f>IF(AQ115="1",BH115,0)</f>
        <v>0</v>
      </c>
      <c r="AC115" s="31">
        <f>IF(AQ115="1",BI115,0)</f>
        <v>0</v>
      </c>
      <c r="AD115" s="31">
        <f>IF(AQ115="7",BH115,0)</f>
        <v>0</v>
      </c>
      <c r="AE115" s="31">
        <f>IF(AQ115="7",BI115,0)</f>
        <v>0</v>
      </c>
      <c r="AF115" s="31">
        <f>IF(AQ115="2",BH115,0)</f>
        <v>0</v>
      </c>
      <c r="AG115" s="31">
        <f>IF(AQ115="2",BI115,0)</f>
        <v>0</v>
      </c>
      <c r="AH115" s="31">
        <f>IF(AQ115="0",BJ115,0)</f>
        <v>0</v>
      </c>
      <c r="AI115" s="25" t="s">
        <v>487</v>
      </c>
      <c r="AJ115" s="15">
        <f>IF(AN115=0,K115,0)</f>
        <v>0</v>
      </c>
      <c r="AK115" s="15">
        <f>IF(AN115=15,K115,0)</f>
        <v>0</v>
      </c>
      <c r="AL115" s="15">
        <f>IF(AN115=21,K115,0)</f>
        <v>0</v>
      </c>
      <c r="AN115" s="31">
        <v>21</v>
      </c>
      <c r="AO115" s="31">
        <f>H115*0.788835501176196</f>
        <v>0</v>
      </c>
      <c r="AP115" s="31">
        <f>H115*(1-0.788835501176196)</f>
        <v>0</v>
      </c>
      <c r="AQ115" s="26" t="s">
        <v>7</v>
      </c>
      <c r="AV115" s="31">
        <f>AW115+AX115</f>
        <v>0</v>
      </c>
      <c r="AW115" s="31">
        <f>G115*AO115</f>
        <v>0</v>
      </c>
      <c r="AX115" s="31">
        <f>G115*AP115</f>
        <v>0</v>
      </c>
      <c r="AY115" s="32" t="s">
        <v>510</v>
      </c>
      <c r="AZ115" s="32" t="s">
        <v>530</v>
      </c>
      <c r="BA115" s="25" t="s">
        <v>541</v>
      </c>
      <c r="BC115" s="31">
        <f>AW115+AX115</f>
        <v>0</v>
      </c>
      <c r="BD115" s="31">
        <f>H115/(100-BE115)*100</f>
        <v>0</v>
      </c>
      <c r="BE115" s="31">
        <v>0</v>
      </c>
      <c r="BF115" s="31">
        <f>115</f>
        <v>115</v>
      </c>
      <c r="BH115" s="15">
        <f>G115*AO115</f>
        <v>0</v>
      </c>
      <c r="BI115" s="15">
        <f>G115*AP115</f>
        <v>0</v>
      </c>
      <c r="BJ115" s="15">
        <f>G115*H115</f>
        <v>0</v>
      </c>
    </row>
    <row r="116" spans="1:62" x14ac:dyDescent="0.2">
      <c r="A116" s="3"/>
      <c r="B116" s="11" t="s">
        <v>68</v>
      </c>
      <c r="C116" s="134" t="s">
        <v>321</v>
      </c>
      <c r="D116" s="135"/>
      <c r="E116" s="135"/>
      <c r="F116" s="3" t="s">
        <v>6</v>
      </c>
      <c r="G116" s="3" t="s">
        <v>6</v>
      </c>
      <c r="H116" s="3" t="s">
        <v>6</v>
      </c>
      <c r="I116" s="33">
        <f>SUM(I117:I117)</f>
        <v>0</v>
      </c>
      <c r="J116" s="33">
        <f>SUM(J117:J117)</f>
        <v>0</v>
      </c>
      <c r="K116" s="33">
        <f>SUM(K117:K117)</f>
        <v>0</v>
      </c>
      <c r="L116" s="25"/>
      <c r="AI116" s="25" t="s">
        <v>487</v>
      </c>
      <c r="AS116" s="33">
        <f>SUM(AJ117:AJ117)</f>
        <v>0</v>
      </c>
      <c r="AT116" s="33">
        <f>SUM(AK117:AK117)</f>
        <v>0</v>
      </c>
      <c r="AU116" s="33">
        <f>SUM(AL117:AL117)</f>
        <v>0</v>
      </c>
    </row>
    <row r="117" spans="1:62" x14ac:dyDescent="0.2">
      <c r="A117" s="4" t="s">
        <v>80</v>
      </c>
      <c r="B117" s="4" t="s">
        <v>186</v>
      </c>
      <c r="C117" s="136" t="s">
        <v>384</v>
      </c>
      <c r="D117" s="137"/>
      <c r="E117" s="137"/>
      <c r="F117" s="4" t="s">
        <v>460</v>
      </c>
      <c r="G117" s="65">
        <v>73.650000000000006</v>
      </c>
      <c r="H117" s="15">
        <v>0</v>
      </c>
      <c r="I117" s="15">
        <f>G117*AO117</f>
        <v>0</v>
      </c>
      <c r="J117" s="15">
        <f>G117*AP117</f>
        <v>0</v>
      </c>
      <c r="K117" s="15">
        <f>G117*H117</f>
        <v>0</v>
      </c>
      <c r="L117" s="26" t="s">
        <v>476</v>
      </c>
      <c r="Z117" s="31">
        <f>IF(AQ117="5",BJ117,0)</f>
        <v>0</v>
      </c>
      <c r="AB117" s="31">
        <f>IF(AQ117="1",BH117,0)</f>
        <v>0</v>
      </c>
      <c r="AC117" s="31">
        <f>IF(AQ117="1",BI117,0)</f>
        <v>0</v>
      </c>
      <c r="AD117" s="31">
        <f>IF(AQ117="7",BH117,0)</f>
        <v>0</v>
      </c>
      <c r="AE117" s="31">
        <f>IF(AQ117="7",BI117,0)</f>
        <v>0</v>
      </c>
      <c r="AF117" s="31">
        <f>IF(AQ117="2",BH117,0)</f>
        <v>0</v>
      </c>
      <c r="AG117" s="31">
        <f>IF(AQ117="2",BI117,0)</f>
        <v>0</v>
      </c>
      <c r="AH117" s="31">
        <f>IF(AQ117="0",BJ117,0)</f>
        <v>0</v>
      </c>
      <c r="AI117" s="25" t="s">
        <v>487</v>
      </c>
      <c r="AJ117" s="15">
        <f>IF(AN117=0,K117,0)</f>
        <v>0</v>
      </c>
      <c r="AK117" s="15">
        <f>IF(AN117=15,K117,0)</f>
        <v>0</v>
      </c>
      <c r="AL117" s="15">
        <f>IF(AN117=21,K117,0)</f>
        <v>0</v>
      </c>
      <c r="AN117" s="31">
        <v>21</v>
      </c>
      <c r="AO117" s="31">
        <f>H117*0.621143971768268</f>
        <v>0</v>
      </c>
      <c r="AP117" s="31">
        <f>H117*(1-0.621143971768268)</f>
        <v>0</v>
      </c>
      <c r="AQ117" s="26" t="s">
        <v>7</v>
      </c>
      <c r="AV117" s="31">
        <f>AW117+AX117</f>
        <v>0</v>
      </c>
      <c r="AW117" s="31">
        <f>G117*AO117</f>
        <v>0</v>
      </c>
      <c r="AX117" s="31">
        <f>G117*AP117</f>
        <v>0</v>
      </c>
      <c r="AY117" s="32" t="s">
        <v>499</v>
      </c>
      <c r="AZ117" s="32" t="s">
        <v>530</v>
      </c>
      <c r="BA117" s="25" t="s">
        <v>541</v>
      </c>
      <c r="BC117" s="31">
        <f>AW117+AX117</f>
        <v>0</v>
      </c>
      <c r="BD117" s="31">
        <f>H117/(100-BE117)*100</f>
        <v>0</v>
      </c>
      <c r="BE117" s="31">
        <v>0</v>
      </c>
      <c r="BF117" s="31">
        <f>117</f>
        <v>117</v>
      </c>
      <c r="BH117" s="15">
        <f>G117*AO117</f>
        <v>0</v>
      </c>
      <c r="BI117" s="15">
        <f>G117*AP117</f>
        <v>0</v>
      </c>
      <c r="BJ117" s="15">
        <f>G117*H117</f>
        <v>0</v>
      </c>
    </row>
    <row r="118" spans="1:62" x14ac:dyDescent="0.2">
      <c r="A118" s="3"/>
      <c r="B118" s="11" t="s">
        <v>69</v>
      </c>
      <c r="C118" s="134" t="s">
        <v>385</v>
      </c>
      <c r="D118" s="135"/>
      <c r="E118" s="135"/>
      <c r="F118" s="3" t="s">
        <v>6</v>
      </c>
      <c r="G118" s="3" t="s">
        <v>6</v>
      </c>
      <c r="H118" s="3" t="s">
        <v>6</v>
      </c>
      <c r="I118" s="33">
        <f>SUM(I119:I121)</f>
        <v>0</v>
      </c>
      <c r="J118" s="33">
        <f>SUM(J119:J121)</f>
        <v>0</v>
      </c>
      <c r="K118" s="33">
        <f>SUM(K119:K121)</f>
        <v>0</v>
      </c>
      <c r="L118" s="25"/>
      <c r="AI118" s="25" t="s">
        <v>487</v>
      </c>
      <c r="AS118" s="33">
        <f>SUM(AJ119:AJ121)</f>
        <v>0</v>
      </c>
      <c r="AT118" s="33">
        <f>SUM(AK119:AK121)</f>
        <v>0</v>
      </c>
      <c r="AU118" s="33">
        <f>SUM(AL119:AL121)</f>
        <v>0</v>
      </c>
    </row>
    <row r="119" spans="1:62" x14ac:dyDescent="0.2">
      <c r="A119" s="4" t="s">
        <v>81</v>
      </c>
      <c r="B119" s="4" t="s">
        <v>239</v>
      </c>
      <c r="C119" s="136" t="s">
        <v>386</v>
      </c>
      <c r="D119" s="137"/>
      <c r="E119" s="137"/>
      <c r="F119" s="4" t="s">
        <v>459</v>
      </c>
      <c r="G119" s="65">
        <v>2.4039999999999999</v>
      </c>
      <c r="H119" s="15">
        <v>0</v>
      </c>
      <c r="I119" s="15">
        <f>G119*AO119</f>
        <v>0</v>
      </c>
      <c r="J119" s="15">
        <f>G119*AP119</f>
        <v>0</v>
      </c>
      <c r="K119" s="15">
        <f>G119*H119</f>
        <v>0</v>
      </c>
      <c r="L119" s="26" t="s">
        <v>476</v>
      </c>
      <c r="Z119" s="31">
        <f>IF(AQ119="5",BJ119,0)</f>
        <v>0</v>
      </c>
      <c r="AB119" s="31">
        <f>IF(AQ119="1",BH119,0)</f>
        <v>0</v>
      </c>
      <c r="AC119" s="31">
        <f>IF(AQ119="1",BI119,0)</f>
        <v>0</v>
      </c>
      <c r="AD119" s="31">
        <f>IF(AQ119="7",BH119,0)</f>
        <v>0</v>
      </c>
      <c r="AE119" s="31">
        <f>IF(AQ119="7",BI119,0)</f>
        <v>0</v>
      </c>
      <c r="AF119" s="31">
        <f>IF(AQ119="2",BH119,0)</f>
        <v>0</v>
      </c>
      <c r="AG119" s="31">
        <f>IF(AQ119="2",BI119,0)</f>
        <v>0</v>
      </c>
      <c r="AH119" s="31">
        <f>IF(AQ119="0",BJ119,0)</f>
        <v>0</v>
      </c>
      <c r="AI119" s="25" t="s">
        <v>487</v>
      </c>
      <c r="AJ119" s="15">
        <f>IF(AN119=0,K119,0)</f>
        <v>0</v>
      </c>
      <c r="AK119" s="15">
        <f>IF(AN119=15,K119,0)</f>
        <v>0</v>
      </c>
      <c r="AL119" s="15">
        <f>IF(AN119=21,K119,0)</f>
        <v>0</v>
      </c>
      <c r="AN119" s="31">
        <v>21</v>
      </c>
      <c r="AO119" s="31">
        <f>H119*0.854260433174855</f>
        <v>0</v>
      </c>
      <c r="AP119" s="31">
        <f>H119*(1-0.854260433174855)</f>
        <v>0</v>
      </c>
      <c r="AQ119" s="26" t="s">
        <v>7</v>
      </c>
      <c r="AV119" s="31">
        <f>AW119+AX119</f>
        <v>0</v>
      </c>
      <c r="AW119" s="31">
        <f>G119*AO119</f>
        <v>0</v>
      </c>
      <c r="AX119" s="31">
        <f>G119*AP119</f>
        <v>0</v>
      </c>
      <c r="AY119" s="32" t="s">
        <v>511</v>
      </c>
      <c r="AZ119" s="32" t="s">
        <v>530</v>
      </c>
      <c r="BA119" s="25" t="s">
        <v>541</v>
      </c>
      <c r="BC119" s="31">
        <f>AW119+AX119</f>
        <v>0</v>
      </c>
      <c r="BD119" s="31">
        <f>H119/(100-BE119)*100</f>
        <v>0</v>
      </c>
      <c r="BE119" s="31">
        <v>0</v>
      </c>
      <c r="BF119" s="31">
        <f>119</f>
        <v>119</v>
      </c>
      <c r="BH119" s="15">
        <f>G119*AO119</f>
        <v>0</v>
      </c>
      <c r="BI119" s="15">
        <f>G119*AP119</f>
        <v>0</v>
      </c>
      <c r="BJ119" s="15">
        <f>G119*H119</f>
        <v>0</v>
      </c>
    </row>
    <row r="120" spans="1:62" x14ac:dyDescent="0.2">
      <c r="A120" s="4" t="s">
        <v>82</v>
      </c>
      <c r="B120" s="4" t="s">
        <v>240</v>
      </c>
      <c r="C120" s="136" t="s">
        <v>387</v>
      </c>
      <c r="D120" s="137"/>
      <c r="E120" s="137"/>
      <c r="F120" s="4" t="s">
        <v>459</v>
      </c>
      <c r="G120" s="65">
        <v>21.914999999999999</v>
      </c>
      <c r="H120" s="15">
        <v>0</v>
      </c>
      <c r="I120" s="15">
        <f>G120*AO120</f>
        <v>0</v>
      </c>
      <c r="J120" s="15">
        <f>G120*AP120</f>
        <v>0</v>
      </c>
      <c r="K120" s="15">
        <f>G120*H120</f>
        <v>0</v>
      </c>
      <c r="L120" s="26" t="s">
        <v>476</v>
      </c>
      <c r="Z120" s="31">
        <f>IF(AQ120="5",BJ120,0)</f>
        <v>0</v>
      </c>
      <c r="AB120" s="31">
        <f>IF(AQ120="1",BH120,0)</f>
        <v>0</v>
      </c>
      <c r="AC120" s="31">
        <f>IF(AQ120="1",BI120,0)</f>
        <v>0</v>
      </c>
      <c r="AD120" s="31">
        <f>IF(AQ120="7",BH120,0)</f>
        <v>0</v>
      </c>
      <c r="AE120" s="31">
        <f>IF(AQ120="7",BI120,0)</f>
        <v>0</v>
      </c>
      <c r="AF120" s="31">
        <f>IF(AQ120="2",BH120,0)</f>
        <v>0</v>
      </c>
      <c r="AG120" s="31">
        <f>IF(AQ120="2",BI120,0)</f>
        <v>0</v>
      </c>
      <c r="AH120" s="31">
        <f>IF(AQ120="0",BJ120,0)</f>
        <v>0</v>
      </c>
      <c r="AI120" s="25" t="s">
        <v>487</v>
      </c>
      <c r="AJ120" s="15">
        <f>IF(AN120=0,K120,0)</f>
        <v>0</v>
      </c>
      <c r="AK120" s="15">
        <f>IF(AN120=15,K120,0)</f>
        <v>0</v>
      </c>
      <c r="AL120" s="15">
        <f>IF(AN120=21,K120,0)</f>
        <v>0</v>
      </c>
      <c r="AN120" s="31">
        <v>21</v>
      </c>
      <c r="AO120" s="31">
        <f>H120*0.619001503979312</f>
        <v>0</v>
      </c>
      <c r="AP120" s="31">
        <f>H120*(1-0.619001503979312)</f>
        <v>0</v>
      </c>
      <c r="AQ120" s="26" t="s">
        <v>7</v>
      </c>
      <c r="AV120" s="31">
        <f>AW120+AX120</f>
        <v>0</v>
      </c>
      <c r="AW120" s="31">
        <f>G120*AO120</f>
        <v>0</v>
      </c>
      <c r="AX120" s="31">
        <f>G120*AP120</f>
        <v>0</v>
      </c>
      <c r="AY120" s="32" t="s">
        <v>511</v>
      </c>
      <c r="AZ120" s="32" t="s">
        <v>530</v>
      </c>
      <c r="BA120" s="25" t="s">
        <v>541</v>
      </c>
      <c r="BC120" s="31">
        <f>AW120+AX120</f>
        <v>0</v>
      </c>
      <c r="BD120" s="31">
        <f>H120/(100-BE120)*100</f>
        <v>0</v>
      </c>
      <c r="BE120" s="31">
        <v>0</v>
      </c>
      <c r="BF120" s="31">
        <f>120</f>
        <v>120</v>
      </c>
      <c r="BH120" s="15">
        <f>G120*AO120</f>
        <v>0</v>
      </c>
      <c r="BI120" s="15">
        <f>G120*AP120</f>
        <v>0</v>
      </c>
      <c r="BJ120" s="15">
        <f>G120*H120</f>
        <v>0</v>
      </c>
    </row>
    <row r="121" spans="1:62" x14ac:dyDescent="0.2">
      <c r="A121" s="4" t="s">
        <v>83</v>
      </c>
      <c r="B121" s="4" t="s">
        <v>241</v>
      </c>
      <c r="C121" s="136" t="s">
        <v>388</v>
      </c>
      <c r="D121" s="137"/>
      <c r="E121" s="137"/>
      <c r="F121" s="4" t="s">
        <v>459</v>
      </c>
      <c r="G121" s="65">
        <v>21.914999999999999</v>
      </c>
      <c r="H121" s="15">
        <v>0</v>
      </c>
      <c r="I121" s="15">
        <f>G121*AO121</f>
        <v>0</v>
      </c>
      <c r="J121" s="15">
        <f>G121*AP121</f>
        <v>0</v>
      </c>
      <c r="K121" s="15">
        <f>G121*H121</f>
        <v>0</v>
      </c>
      <c r="L121" s="26" t="s">
        <v>476</v>
      </c>
      <c r="Z121" s="31">
        <f>IF(AQ121="5",BJ121,0)</f>
        <v>0</v>
      </c>
      <c r="AB121" s="31">
        <f>IF(AQ121="1",BH121,0)</f>
        <v>0</v>
      </c>
      <c r="AC121" s="31">
        <f>IF(AQ121="1",BI121,0)</f>
        <v>0</v>
      </c>
      <c r="AD121" s="31">
        <f>IF(AQ121="7",BH121,0)</f>
        <v>0</v>
      </c>
      <c r="AE121" s="31">
        <f>IF(AQ121="7",BI121,0)</f>
        <v>0</v>
      </c>
      <c r="AF121" s="31">
        <f>IF(AQ121="2",BH121,0)</f>
        <v>0</v>
      </c>
      <c r="AG121" s="31">
        <f>IF(AQ121="2",BI121,0)</f>
        <v>0</v>
      </c>
      <c r="AH121" s="31">
        <f>IF(AQ121="0",BJ121,0)</f>
        <v>0</v>
      </c>
      <c r="AI121" s="25" t="s">
        <v>487</v>
      </c>
      <c r="AJ121" s="15">
        <f>IF(AN121=0,K121,0)</f>
        <v>0</v>
      </c>
      <c r="AK121" s="15">
        <f>IF(AN121=15,K121,0)</f>
        <v>0</v>
      </c>
      <c r="AL121" s="15">
        <f>IF(AN121=21,K121,0)</f>
        <v>0</v>
      </c>
      <c r="AN121" s="31">
        <v>21</v>
      </c>
      <c r="AO121" s="31">
        <f>H121*0.689483378126418</f>
        <v>0</v>
      </c>
      <c r="AP121" s="31">
        <f>H121*(1-0.689483378126418)</f>
        <v>0</v>
      </c>
      <c r="AQ121" s="26" t="s">
        <v>7</v>
      </c>
      <c r="AV121" s="31">
        <f>AW121+AX121</f>
        <v>0</v>
      </c>
      <c r="AW121" s="31">
        <f>G121*AO121</f>
        <v>0</v>
      </c>
      <c r="AX121" s="31">
        <f>G121*AP121</f>
        <v>0</v>
      </c>
      <c r="AY121" s="32" t="s">
        <v>511</v>
      </c>
      <c r="AZ121" s="32" t="s">
        <v>530</v>
      </c>
      <c r="BA121" s="25" t="s">
        <v>541</v>
      </c>
      <c r="BC121" s="31">
        <f>AW121+AX121</f>
        <v>0</v>
      </c>
      <c r="BD121" s="31">
        <f>H121/(100-BE121)*100</f>
        <v>0</v>
      </c>
      <c r="BE121" s="31">
        <v>0</v>
      </c>
      <c r="BF121" s="31">
        <f>121</f>
        <v>121</v>
      </c>
      <c r="BH121" s="15">
        <f>G121*AO121</f>
        <v>0</v>
      </c>
      <c r="BI121" s="15">
        <f>G121*AP121</f>
        <v>0</v>
      </c>
      <c r="BJ121" s="15">
        <f>G121*H121</f>
        <v>0</v>
      </c>
    </row>
    <row r="122" spans="1:62" x14ac:dyDescent="0.2">
      <c r="A122" s="3"/>
      <c r="B122" s="11" t="s">
        <v>95</v>
      </c>
      <c r="C122" s="134" t="s">
        <v>324</v>
      </c>
      <c r="D122" s="135"/>
      <c r="E122" s="135"/>
      <c r="F122" s="3" t="s">
        <v>6</v>
      </c>
      <c r="G122" s="3" t="s">
        <v>6</v>
      </c>
      <c r="H122" s="3" t="s">
        <v>6</v>
      </c>
      <c r="I122" s="33">
        <f>SUM(I123:I127)</f>
        <v>0</v>
      </c>
      <c r="J122" s="33">
        <f>SUM(J123:J127)</f>
        <v>0</v>
      </c>
      <c r="K122" s="33">
        <f>SUM(K123:K127)</f>
        <v>0</v>
      </c>
      <c r="L122" s="25"/>
      <c r="AI122" s="25" t="s">
        <v>487</v>
      </c>
      <c r="AS122" s="33">
        <f>SUM(AJ123:AJ127)</f>
        <v>0</v>
      </c>
      <c r="AT122" s="33">
        <f>SUM(AK123:AK127)</f>
        <v>0</v>
      </c>
      <c r="AU122" s="33">
        <f>SUM(AL123:AL127)</f>
        <v>0</v>
      </c>
    </row>
    <row r="123" spans="1:62" x14ac:dyDescent="0.2">
      <c r="A123" s="4" t="s">
        <v>84</v>
      </c>
      <c r="B123" s="4" t="s">
        <v>187</v>
      </c>
      <c r="C123" s="136" t="s">
        <v>389</v>
      </c>
      <c r="D123" s="137"/>
      <c r="E123" s="137"/>
      <c r="F123" s="4" t="s">
        <v>456</v>
      </c>
      <c r="G123" s="65">
        <v>1</v>
      </c>
      <c r="H123" s="15">
        <v>0</v>
      </c>
      <c r="I123" s="15">
        <f>G123*AO123</f>
        <v>0</v>
      </c>
      <c r="J123" s="15">
        <f>G123*AP123</f>
        <v>0</v>
      </c>
      <c r="K123" s="15">
        <f>G123*H123</f>
        <v>0</v>
      </c>
      <c r="L123" s="26" t="s">
        <v>476</v>
      </c>
      <c r="Z123" s="31">
        <f>IF(AQ123="5",BJ123,0)</f>
        <v>0</v>
      </c>
      <c r="AB123" s="31">
        <f>IF(AQ123="1",BH123,0)</f>
        <v>0</v>
      </c>
      <c r="AC123" s="31">
        <f>IF(AQ123="1",BI123,0)</f>
        <v>0</v>
      </c>
      <c r="AD123" s="31">
        <f>IF(AQ123="7",BH123,0)</f>
        <v>0</v>
      </c>
      <c r="AE123" s="31">
        <f>IF(AQ123="7",BI123,0)</f>
        <v>0</v>
      </c>
      <c r="AF123" s="31">
        <f>IF(AQ123="2",BH123,0)</f>
        <v>0</v>
      </c>
      <c r="AG123" s="31">
        <f>IF(AQ123="2",BI123,0)</f>
        <v>0</v>
      </c>
      <c r="AH123" s="31">
        <f>IF(AQ123="0",BJ123,0)</f>
        <v>0</v>
      </c>
      <c r="AI123" s="25" t="s">
        <v>487</v>
      </c>
      <c r="AJ123" s="15">
        <f>IF(AN123=0,K123,0)</f>
        <v>0</v>
      </c>
      <c r="AK123" s="15">
        <f>IF(AN123=15,K123,0)</f>
        <v>0</v>
      </c>
      <c r="AL123" s="15">
        <f>IF(AN123=21,K123,0)</f>
        <v>0</v>
      </c>
      <c r="AN123" s="31">
        <v>21</v>
      </c>
      <c r="AO123" s="31">
        <f>H123*0.91543309352518</f>
        <v>0</v>
      </c>
      <c r="AP123" s="31">
        <f>H123*(1-0.91543309352518)</f>
        <v>0</v>
      </c>
      <c r="AQ123" s="26" t="s">
        <v>7</v>
      </c>
      <c r="AV123" s="31">
        <f>AW123+AX123</f>
        <v>0</v>
      </c>
      <c r="AW123" s="31">
        <f>G123*AO123</f>
        <v>0</v>
      </c>
      <c r="AX123" s="31">
        <f>G123*AP123</f>
        <v>0</v>
      </c>
      <c r="AY123" s="32" t="s">
        <v>500</v>
      </c>
      <c r="AZ123" s="32" t="s">
        <v>531</v>
      </c>
      <c r="BA123" s="25" t="s">
        <v>541</v>
      </c>
      <c r="BC123" s="31">
        <f>AW123+AX123</f>
        <v>0</v>
      </c>
      <c r="BD123" s="31">
        <f>H123/(100-BE123)*100</f>
        <v>0</v>
      </c>
      <c r="BE123" s="31">
        <v>0</v>
      </c>
      <c r="BF123" s="31">
        <f>123</f>
        <v>123</v>
      </c>
      <c r="BH123" s="15">
        <f>G123*AO123</f>
        <v>0</v>
      </c>
      <c r="BI123" s="15">
        <f>G123*AP123</f>
        <v>0</v>
      </c>
      <c r="BJ123" s="15">
        <f>G123*H123</f>
        <v>0</v>
      </c>
    </row>
    <row r="124" spans="1:62" x14ac:dyDescent="0.2">
      <c r="A124" s="4" t="s">
        <v>85</v>
      </c>
      <c r="B124" s="4" t="s">
        <v>242</v>
      </c>
      <c r="C124" s="136" t="s">
        <v>390</v>
      </c>
      <c r="D124" s="137"/>
      <c r="E124" s="137"/>
      <c r="F124" s="4" t="s">
        <v>460</v>
      </c>
      <c r="G124" s="65">
        <v>6.5</v>
      </c>
      <c r="H124" s="15">
        <v>0</v>
      </c>
      <c r="I124" s="15">
        <f>G124*AO124</f>
        <v>0</v>
      </c>
      <c r="J124" s="15">
        <f>G124*AP124</f>
        <v>0</v>
      </c>
      <c r="K124" s="15">
        <f>G124*H124</f>
        <v>0</v>
      </c>
      <c r="L124" s="26" t="s">
        <v>476</v>
      </c>
      <c r="Z124" s="31">
        <f>IF(AQ124="5",BJ124,0)</f>
        <v>0</v>
      </c>
      <c r="AB124" s="31">
        <f>IF(AQ124="1",BH124,0)</f>
        <v>0</v>
      </c>
      <c r="AC124" s="31">
        <f>IF(AQ124="1",BI124,0)</f>
        <v>0</v>
      </c>
      <c r="AD124" s="31">
        <f>IF(AQ124="7",BH124,0)</f>
        <v>0</v>
      </c>
      <c r="AE124" s="31">
        <f>IF(AQ124="7",BI124,0)</f>
        <v>0</v>
      </c>
      <c r="AF124" s="31">
        <f>IF(AQ124="2",BH124,0)</f>
        <v>0</v>
      </c>
      <c r="AG124" s="31">
        <f>IF(AQ124="2",BI124,0)</f>
        <v>0</v>
      </c>
      <c r="AH124" s="31">
        <f>IF(AQ124="0",BJ124,0)</f>
        <v>0</v>
      </c>
      <c r="AI124" s="25" t="s">
        <v>487</v>
      </c>
      <c r="AJ124" s="15">
        <f>IF(AN124=0,K124,0)</f>
        <v>0</v>
      </c>
      <c r="AK124" s="15">
        <f>IF(AN124=15,K124,0)</f>
        <v>0</v>
      </c>
      <c r="AL124" s="15">
        <f>IF(AN124=21,K124,0)</f>
        <v>0</v>
      </c>
      <c r="AN124" s="31">
        <v>21</v>
      </c>
      <c r="AO124" s="31">
        <f>H124*0.277112415911654</f>
        <v>0</v>
      </c>
      <c r="AP124" s="31">
        <f>H124*(1-0.277112415911654)</f>
        <v>0</v>
      </c>
      <c r="AQ124" s="26" t="s">
        <v>7</v>
      </c>
      <c r="AV124" s="31">
        <f>AW124+AX124</f>
        <v>0</v>
      </c>
      <c r="AW124" s="31">
        <f>G124*AO124</f>
        <v>0</v>
      </c>
      <c r="AX124" s="31">
        <f>G124*AP124</f>
        <v>0</v>
      </c>
      <c r="AY124" s="32" t="s">
        <v>500</v>
      </c>
      <c r="AZ124" s="32" t="s">
        <v>531</v>
      </c>
      <c r="BA124" s="25" t="s">
        <v>541</v>
      </c>
      <c r="BC124" s="31">
        <f>AW124+AX124</f>
        <v>0</v>
      </c>
      <c r="BD124" s="31">
        <f>H124/(100-BE124)*100</f>
        <v>0</v>
      </c>
      <c r="BE124" s="31">
        <v>0</v>
      </c>
      <c r="BF124" s="31">
        <f>124</f>
        <v>124</v>
      </c>
      <c r="BH124" s="15">
        <f>G124*AO124</f>
        <v>0</v>
      </c>
      <c r="BI124" s="15">
        <f>G124*AP124</f>
        <v>0</v>
      </c>
      <c r="BJ124" s="15">
        <f>G124*H124</f>
        <v>0</v>
      </c>
    </row>
    <row r="125" spans="1:62" x14ac:dyDescent="0.2">
      <c r="A125" s="4" t="s">
        <v>86</v>
      </c>
      <c r="B125" s="4" t="s">
        <v>243</v>
      </c>
      <c r="C125" s="136" t="s">
        <v>391</v>
      </c>
      <c r="D125" s="137"/>
      <c r="E125" s="137"/>
      <c r="F125" s="4" t="s">
        <v>460</v>
      </c>
      <c r="G125" s="65">
        <v>11</v>
      </c>
      <c r="H125" s="15">
        <v>0</v>
      </c>
      <c r="I125" s="15">
        <f>G125*AO125</f>
        <v>0</v>
      </c>
      <c r="J125" s="15">
        <f>G125*AP125</f>
        <v>0</v>
      </c>
      <c r="K125" s="15">
        <f>G125*H125</f>
        <v>0</v>
      </c>
      <c r="L125" s="26" t="s">
        <v>476</v>
      </c>
      <c r="Z125" s="31">
        <f>IF(AQ125="5",BJ125,0)</f>
        <v>0</v>
      </c>
      <c r="AB125" s="31">
        <f>IF(AQ125="1",BH125,0)</f>
        <v>0</v>
      </c>
      <c r="AC125" s="31">
        <f>IF(AQ125="1",BI125,0)</f>
        <v>0</v>
      </c>
      <c r="AD125" s="31">
        <f>IF(AQ125="7",BH125,0)</f>
        <v>0</v>
      </c>
      <c r="AE125" s="31">
        <f>IF(AQ125="7",BI125,0)</f>
        <v>0</v>
      </c>
      <c r="AF125" s="31">
        <f>IF(AQ125="2",BH125,0)</f>
        <v>0</v>
      </c>
      <c r="AG125" s="31">
        <f>IF(AQ125="2",BI125,0)</f>
        <v>0</v>
      </c>
      <c r="AH125" s="31">
        <f>IF(AQ125="0",BJ125,0)</f>
        <v>0</v>
      </c>
      <c r="AI125" s="25" t="s">
        <v>487</v>
      </c>
      <c r="AJ125" s="15">
        <f>IF(AN125=0,K125,0)</f>
        <v>0</v>
      </c>
      <c r="AK125" s="15">
        <f>IF(AN125=15,K125,0)</f>
        <v>0</v>
      </c>
      <c r="AL125" s="15">
        <f>IF(AN125=21,K125,0)</f>
        <v>0</v>
      </c>
      <c r="AN125" s="31">
        <v>21</v>
      </c>
      <c r="AO125" s="31">
        <f>H125*0.796965035727922</f>
        <v>0</v>
      </c>
      <c r="AP125" s="31">
        <f>H125*(1-0.796965035727922)</f>
        <v>0</v>
      </c>
      <c r="AQ125" s="26" t="s">
        <v>7</v>
      </c>
      <c r="AV125" s="31">
        <f>AW125+AX125</f>
        <v>0</v>
      </c>
      <c r="AW125" s="31">
        <f>G125*AO125</f>
        <v>0</v>
      </c>
      <c r="AX125" s="31">
        <f>G125*AP125</f>
        <v>0</v>
      </c>
      <c r="AY125" s="32" t="s">
        <v>500</v>
      </c>
      <c r="AZ125" s="32" t="s">
        <v>531</v>
      </c>
      <c r="BA125" s="25" t="s">
        <v>541</v>
      </c>
      <c r="BC125" s="31">
        <f>AW125+AX125</f>
        <v>0</v>
      </c>
      <c r="BD125" s="31">
        <f>H125/(100-BE125)*100</f>
        <v>0</v>
      </c>
      <c r="BE125" s="31">
        <v>0</v>
      </c>
      <c r="BF125" s="31">
        <f>125</f>
        <v>125</v>
      </c>
      <c r="BH125" s="15">
        <f>G125*AO125</f>
        <v>0</v>
      </c>
      <c r="BI125" s="15">
        <f>G125*AP125</f>
        <v>0</v>
      </c>
      <c r="BJ125" s="15">
        <f>G125*H125</f>
        <v>0</v>
      </c>
    </row>
    <row r="126" spans="1:62" x14ac:dyDescent="0.2">
      <c r="A126" s="4" t="s">
        <v>87</v>
      </c>
      <c r="B126" s="4" t="s">
        <v>243</v>
      </c>
      <c r="C126" s="136" t="s">
        <v>392</v>
      </c>
      <c r="D126" s="137"/>
      <c r="E126" s="137"/>
      <c r="F126" s="4" t="s">
        <v>460</v>
      </c>
      <c r="G126" s="65">
        <v>48</v>
      </c>
      <c r="H126" s="15">
        <v>0</v>
      </c>
      <c r="I126" s="15">
        <f>G126*AO126</f>
        <v>0</v>
      </c>
      <c r="J126" s="15">
        <f>G126*AP126</f>
        <v>0</v>
      </c>
      <c r="K126" s="15">
        <f>G126*H126</f>
        <v>0</v>
      </c>
      <c r="L126" s="26" t="s">
        <v>476</v>
      </c>
      <c r="Z126" s="31">
        <f>IF(AQ126="5",BJ126,0)</f>
        <v>0</v>
      </c>
      <c r="AB126" s="31">
        <f>IF(AQ126="1",BH126,0)</f>
        <v>0</v>
      </c>
      <c r="AC126" s="31">
        <f>IF(AQ126="1",BI126,0)</f>
        <v>0</v>
      </c>
      <c r="AD126" s="31">
        <f>IF(AQ126="7",BH126,0)</f>
        <v>0</v>
      </c>
      <c r="AE126" s="31">
        <f>IF(AQ126="7",BI126,0)</f>
        <v>0</v>
      </c>
      <c r="AF126" s="31">
        <f>IF(AQ126="2",BH126,0)</f>
        <v>0</v>
      </c>
      <c r="AG126" s="31">
        <f>IF(AQ126="2",BI126,0)</f>
        <v>0</v>
      </c>
      <c r="AH126" s="31">
        <f>IF(AQ126="0",BJ126,0)</f>
        <v>0</v>
      </c>
      <c r="AI126" s="25" t="s">
        <v>487</v>
      </c>
      <c r="AJ126" s="15">
        <f>IF(AN126=0,K126,0)</f>
        <v>0</v>
      </c>
      <c r="AK126" s="15">
        <f>IF(AN126=15,K126,0)</f>
        <v>0</v>
      </c>
      <c r="AL126" s="15">
        <f>IF(AN126=21,K126,0)</f>
        <v>0</v>
      </c>
      <c r="AN126" s="31">
        <v>21</v>
      </c>
      <c r="AO126" s="31">
        <f>H126*0.796965035727922</f>
        <v>0</v>
      </c>
      <c r="AP126" s="31">
        <f>H126*(1-0.796965035727922)</f>
        <v>0</v>
      </c>
      <c r="AQ126" s="26" t="s">
        <v>7</v>
      </c>
      <c r="AV126" s="31">
        <f>AW126+AX126</f>
        <v>0</v>
      </c>
      <c r="AW126" s="31">
        <f>G126*AO126</f>
        <v>0</v>
      </c>
      <c r="AX126" s="31">
        <f>G126*AP126</f>
        <v>0</v>
      </c>
      <c r="AY126" s="32" t="s">
        <v>500</v>
      </c>
      <c r="AZ126" s="32" t="s">
        <v>531</v>
      </c>
      <c r="BA126" s="25" t="s">
        <v>541</v>
      </c>
      <c r="BC126" s="31">
        <f>AW126+AX126</f>
        <v>0</v>
      </c>
      <c r="BD126" s="31">
        <f>H126/(100-BE126)*100</f>
        <v>0</v>
      </c>
      <c r="BE126" s="31">
        <v>0</v>
      </c>
      <c r="BF126" s="31">
        <f>126</f>
        <v>126</v>
      </c>
      <c r="BH126" s="15">
        <f>G126*AO126</f>
        <v>0</v>
      </c>
      <c r="BI126" s="15">
        <f>G126*AP126</f>
        <v>0</v>
      </c>
      <c r="BJ126" s="15">
        <f>G126*H126</f>
        <v>0</v>
      </c>
    </row>
    <row r="127" spans="1:62" x14ac:dyDescent="0.2">
      <c r="A127" s="4" t="s">
        <v>88</v>
      </c>
      <c r="B127" s="4" t="s">
        <v>244</v>
      </c>
      <c r="C127" s="136" t="s">
        <v>393</v>
      </c>
      <c r="D127" s="137"/>
      <c r="E127" s="137"/>
      <c r="F127" s="4" t="s">
        <v>456</v>
      </c>
      <c r="G127" s="65">
        <v>1</v>
      </c>
      <c r="H127" s="15">
        <v>0</v>
      </c>
      <c r="I127" s="15">
        <f>G127*AO127</f>
        <v>0</v>
      </c>
      <c r="J127" s="15">
        <f>G127*AP127</f>
        <v>0</v>
      </c>
      <c r="K127" s="15">
        <f>G127*H127</f>
        <v>0</v>
      </c>
      <c r="L127" s="26" t="s">
        <v>476</v>
      </c>
      <c r="Z127" s="31">
        <f>IF(AQ127="5",BJ127,0)</f>
        <v>0</v>
      </c>
      <c r="AB127" s="31">
        <f>IF(AQ127="1",BH127,0)</f>
        <v>0</v>
      </c>
      <c r="AC127" s="31">
        <f>IF(AQ127="1",BI127,0)</f>
        <v>0</v>
      </c>
      <c r="AD127" s="31">
        <f>IF(AQ127="7",BH127,0)</f>
        <v>0</v>
      </c>
      <c r="AE127" s="31">
        <f>IF(AQ127="7",BI127,0)</f>
        <v>0</v>
      </c>
      <c r="AF127" s="31">
        <f>IF(AQ127="2",BH127,0)</f>
        <v>0</v>
      </c>
      <c r="AG127" s="31">
        <f>IF(AQ127="2",BI127,0)</f>
        <v>0</v>
      </c>
      <c r="AH127" s="31">
        <f>IF(AQ127="0",BJ127,0)</f>
        <v>0</v>
      </c>
      <c r="AI127" s="25" t="s">
        <v>487</v>
      </c>
      <c r="AJ127" s="15">
        <f>IF(AN127=0,K127,0)</f>
        <v>0</v>
      </c>
      <c r="AK127" s="15">
        <f>IF(AN127=15,K127,0)</f>
        <v>0</v>
      </c>
      <c r="AL127" s="15">
        <f>IF(AN127=21,K127,0)</f>
        <v>0</v>
      </c>
      <c r="AN127" s="31">
        <v>21</v>
      </c>
      <c r="AO127" s="31">
        <f>H127*0.796965735849057</f>
        <v>0</v>
      </c>
      <c r="AP127" s="31">
        <f>H127*(1-0.796965735849057)</f>
        <v>0</v>
      </c>
      <c r="AQ127" s="26" t="s">
        <v>7</v>
      </c>
      <c r="AV127" s="31">
        <f>AW127+AX127</f>
        <v>0</v>
      </c>
      <c r="AW127" s="31">
        <f>G127*AO127</f>
        <v>0</v>
      </c>
      <c r="AX127" s="31">
        <f>G127*AP127</f>
        <v>0</v>
      </c>
      <c r="AY127" s="32" t="s">
        <v>500</v>
      </c>
      <c r="AZ127" s="32" t="s">
        <v>531</v>
      </c>
      <c r="BA127" s="25" t="s">
        <v>541</v>
      </c>
      <c r="BC127" s="31">
        <f>AW127+AX127</f>
        <v>0</v>
      </c>
      <c r="BD127" s="31">
        <f>H127/(100-BE127)*100</f>
        <v>0</v>
      </c>
      <c r="BE127" s="31">
        <v>0</v>
      </c>
      <c r="BF127" s="31">
        <f>127</f>
        <v>127</v>
      </c>
      <c r="BH127" s="15">
        <f>G127*AO127</f>
        <v>0</v>
      </c>
      <c r="BI127" s="15">
        <f>G127*AP127</f>
        <v>0</v>
      </c>
      <c r="BJ127" s="15">
        <f>G127*H127</f>
        <v>0</v>
      </c>
    </row>
    <row r="128" spans="1:62" x14ac:dyDescent="0.2">
      <c r="A128" s="3"/>
      <c r="B128" s="11" t="s">
        <v>97</v>
      </c>
      <c r="C128" s="134" t="s">
        <v>326</v>
      </c>
      <c r="D128" s="135"/>
      <c r="E128" s="135"/>
      <c r="F128" s="3" t="s">
        <v>6</v>
      </c>
      <c r="G128" s="3" t="s">
        <v>6</v>
      </c>
      <c r="H128" s="3" t="s">
        <v>6</v>
      </c>
      <c r="I128" s="33">
        <f>SUM(I129:I132)</f>
        <v>0</v>
      </c>
      <c r="J128" s="33">
        <f>SUM(J129:J132)</f>
        <v>0</v>
      </c>
      <c r="K128" s="33">
        <f>SUM(K129:K132)</f>
        <v>0</v>
      </c>
      <c r="L128" s="25"/>
      <c r="AI128" s="25" t="s">
        <v>487</v>
      </c>
      <c r="AS128" s="33">
        <f>SUM(AJ129:AJ132)</f>
        <v>0</v>
      </c>
      <c r="AT128" s="33">
        <f>SUM(AK129:AK132)</f>
        <v>0</v>
      </c>
      <c r="AU128" s="33">
        <f>SUM(AL129:AL132)</f>
        <v>0</v>
      </c>
    </row>
    <row r="129" spans="1:62" x14ac:dyDescent="0.2">
      <c r="A129" s="4" t="s">
        <v>89</v>
      </c>
      <c r="B129" s="4" t="s">
        <v>188</v>
      </c>
      <c r="C129" s="136" t="s">
        <v>327</v>
      </c>
      <c r="D129" s="137"/>
      <c r="E129" s="137"/>
      <c r="F129" s="4" t="s">
        <v>460</v>
      </c>
      <c r="G129" s="65">
        <v>36.200000000000003</v>
      </c>
      <c r="H129" s="15">
        <v>0</v>
      </c>
      <c r="I129" s="15">
        <f>G129*AO129</f>
        <v>0</v>
      </c>
      <c r="J129" s="15">
        <f>G129*AP129</f>
        <v>0</v>
      </c>
      <c r="K129" s="15">
        <f>G129*H129</f>
        <v>0</v>
      </c>
      <c r="L129" s="26" t="s">
        <v>476</v>
      </c>
      <c r="Z129" s="31">
        <f>IF(AQ129="5",BJ129,0)</f>
        <v>0</v>
      </c>
      <c r="AB129" s="31">
        <f>IF(AQ129="1",BH129,0)</f>
        <v>0</v>
      </c>
      <c r="AC129" s="31">
        <f>IF(AQ129="1",BI129,0)</f>
        <v>0</v>
      </c>
      <c r="AD129" s="31">
        <f>IF(AQ129="7",BH129,0)</f>
        <v>0</v>
      </c>
      <c r="AE129" s="31">
        <f>IF(AQ129="7",BI129,0)</f>
        <v>0</v>
      </c>
      <c r="AF129" s="31">
        <f>IF(AQ129="2",BH129,0)</f>
        <v>0</v>
      </c>
      <c r="AG129" s="31">
        <f>IF(AQ129="2",BI129,0)</f>
        <v>0</v>
      </c>
      <c r="AH129" s="31">
        <f>IF(AQ129="0",BJ129,0)</f>
        <v>0</v>
      </c>
      <c r="AI129" s="25" t="s">
        <v>487</v>
      </c>
      <c r="AJ129" s="15">
        <f>IF(AN129=0,K129,0)</f>
        <v>0</v>
      </c>
      <c r="AK129" s="15">
        <f>IF(AN129=15,K129,0)</f>
        <v>0</v>
      </c>
      <c r="AL129" s="15">
        <f>IF(AN129=21,K129,0)</f>
        <v>0</v>
      </c>
      <c r="AN129" s="31">
        <v>21</v>
      </c>
      <c r="AO129" s="31">
        <f>H129*0.575948553054662</f>
        <v>0</v>
      </c>
      <c r="AP129" s="31">
        <f>H129*(1-0.575948553054662)</f>
        <v>0</v>
      </c>
      <c r="AQ129" s="26" t="s">
        <v>7</v>
      </c>
      <c r="AV129" s="31">
        <f>AW129+AX129</f>
        <v>0</v>
      </c>
      <c r="AW129" s="31">
        <f>G129*AO129</f>
        <v>0</v>
      </c>
      <c r="AX129" s="31">
        <f>G129*AP129</f>
        <v>0</v>
      </c>
      <c r="AY129" s="32" t="s">
        <v>501</v>
      </c>
      <c r="AZ129" s="32" t="s">
        <v>532</v>
      </c>
      <c r="BA129" s="25" t="s">
        <v>541</v>
      </c>
      <c r="BC129" s="31">
        <f>AW129+AX129</f>
        <v>0</v>
      </c>
      <c r="BD129" s="31">
        <f>H129/(100-BE129)*100</f>
        <v>0</v>
      </c>
      <c r="BE129" s="31">
        <v>0</v>
      </c>
      <c r="BF129" s="31">
        <f>129</f>
        <v>129</v>
      </c>
      <c r="BH129" s="15">
        <f>G129*AO129</f>
        <v>0</v>
      </c>
      <c r="BI129" s="15">
        <f>G129*AP129</f>
        <v>0</v>
      </c>
      <c r="BJ129" s="15">
        <f>G129*H129</f>
        <v>0</v>
      </c>
    </row>
    <row r="130" spans="1:62" x14ac:dyDescent="0.2">
      <c r="A130" s="5" t="s">
        <v>90</v>
      </c>
      <c r="B130" s="5" t="s">
        <v>189</v>
      </c>
      <c r="C130" s="151" t="s">
        <v>328</v>
      </c>
      <c r="D130" s="152"/>
      <c r="E130" s="152"/>
      <c r="F130" s="5" t="s">
        <v>456</v>
      </c>
      <c r="G130" s="68">
        <v>73</v>
      </c>
      <c r="H130" s="16">
        <v>0</v>
      </c>
      <c r="I130" s="16">
        <f>G130*AO130</f>
        <v>0</v>
      </c>
      <c r="J130" s="16">
        <f>G130*AP130</f>
        <v>0</v>
      </c>
      <c r="K130" s="16">
        <f>G130*H130</f>
        <v>0</v>
      </c>
      <c r="L130" s="27" t="s">
        <v>476</v>
      </c>
      <c r="Z130" s="31">
        <f>IF(AQ130="5",BJ130,0)</f>
        <v>0</v>
      </c>
      <c r="AB130" s="31">
        <f>IF(AQ130="1",BH130,0)</f>
        <v>0</v>
      </c>
      <c r="AC130" s="31">
        <f>IF(AQ130="1",BI130,0)</f>
        <v>0</v>
      </c>
      <c r="AD130" s="31">
        <f>IF(AQ130="7",BH130,0)</f>
        <v>0</v>
      </c>
      <c r="AE130" s="31">
        <f>IF(AQ130="7",BI130,0)</f>
        <v>0</v>
      </c>
      <c r="AF130" s="31">
        <f>IF(AQ130="2",BH130,0)</f>
        <v>0</v>
      </c>
      <c r="AG130" s="31">
        <f>IF(AQ130="2",BI130,0)</f>
        <v>0</v>
      </c>
      <c r="AH130" s="31">
        <f>IF(AQ130="0",BJ130,0)</f>
        <v>0</v>
      </c>
      <c r="AI130" s="25" t="s">
        <v>487</v>
      </c>
      <c r="AJ130" s="16">
        <f>IF(AN130=0,K130,0)</f>
        <v>0</v>
      </c>
      <c r="AK130" s="16">
        <f>IF(AN130=15,K130,0)</f>
        <v>0</v>
      </c>
      <c r="AL130" s="16">
        <f>IF(AN130=21,K130,0)</f>
        <v>0</v>
      </c>
      <c r="AN130" s="31">
        <v>21</v>
      </c>
      <c r="AO130" s="31">
        <f>H130*1</f>
        <v>0</v>
      </c>
      <c r="AP130" s="31">
        <f>H130*(1-1)</f>
        <v>0</v>
      </c>
      <c r="AQ130" s="27" t="s">
        <v>7</v>
      </c>
      <c r="AV130" s="31">
        <f>AW130+AX130</f>
        <v>0</v>
      </c>
      <c r="AW130" s="31">
        <f>G130*AO130</f>
        <v>0</v>
      </c>
      <c r="AX130" s="31">
        <f>G130*AP130</f>
        <v>0</v>
      </c>
      <c r="AY130" s="32" t="s">
        <v>501</v>
      </c>
      <c r="AZ130" s="32" t="s">
        <v>532</v>
      </c>
      <c r="BA130" s="25" t="s">
        <v>541</v>
      </c>
      <c r="BC130" s="31">
        <f>AW130+AX130</f>
        <v>0</v>
      </c>
      <c r="BD130" s="31">
        <f>H130/(100-BE130)*100</f>
        <v>0</v>
      </c>
      <c r="BE130" s="31">
        <v>0</v>
      </c>
      <c r="BF130" s="31">
        <f>130</f>
        <v>130</v>
      </c>
      <c r="BH130" s="16">
        <f>G130*AO130</f>
        <v>0</v>
      </c>
      <c r="BI130" s="16">
        <f>G130*AP130</f>
        <v>0</v>
      </c>
      <c r="BJ130" s="16">
        <f>G130*H130</f>
        <v>0</v>
      </c>
    </row>
    <row r="131" spans="1:62" x14ac:dyDescent="0.2">
      <c r="A131" s="4" t="s">
        <v>91</v>
      </c>
      <c r="B131" s="4" t="s">
        <v>190</v>
      </c>
      <c r="C131" s="136" t="s">
        <v>329</v>
      </c>
      <c r="D131" s="137"/>
      <c r="E131" s="137"/>
      <c r="F131" s="4" t="s">
        <v>457</v>
      </c>
      <c r="G131" s="65">
        <v>2.7149999999999999</v>
      </c>
      <c r="H131" s="15">
        <v>0</v>
      </c>
      <c r="I131" s="15">
        <f>G131*AO131</f>
        <v>0</v>
      </c>
      <c r="J131" s="15">
        <f>G131*AP131</f>
        <v>0</v>
      </c>
      <c r="K131" s="15">
        <f>G131*H131</f>
        <v>0</v>
      </c>
      <c r="L131" s="26" t="s">
        <v>476</v>
      </c>
      <c r="Z131" s="31">
        <f>IF(AQ131="5",BJ131,0)</f>
        <v>0</v>
      </c>
      <c r="AB131" s="31">
        <f>IF(AQ131="1",BH131,0)</f>
        <v>0</v>
      </c>
      <c r="AC131" s="31">
        <f>IF(AQ131="1",BI131,0)</f>
        <v>0</v>
      </c>
      <c r="AD131" s="31">
        <f>IF(AQ131="7",BH131,0)</f>
        <v>0</v>
      </c>
      <c r="AE131" s="31">
        <f>IF(AQ131="7",BI131,0)</f>
        <v>0</v>
      </c>
      <c r="AF131" s="31">
        <f>IF(AQ131="2",BH131,0)</f>
        <v>0</v>
      </c>
      <c r="AG131" s="31">
        <f>IF(AQ131="2",BI131,0)</f>
        <v>0</v>
      </c>
      <c r="AH131" s="31">
        <f>IF(AQ131="0",BJ131,0)</f>
        <v>0</v>
      </c>
      <c r="AI131" s="25" t="s">
        <v>487</v>
      </c>
      <c r="AJ131" s="15">
        <f>IF(AN131=0,K131,0)</f>
        <v>0</v>
      </c>
      <c r="AK131" s="15">
        <f>IF(AN131=15,K131,0)</f>
        <v>0</v>
      </c>
      <c r="AL131" s="15">
        <f>IF(AN131=21,K131,0)</f>
        <v>0</v>
      </c>
      <c r="AN131" s="31">
        <v>21</v>
      </c>
      <c r="AO131" s="31">
        <f>H131*0.780342854125488</f>
        <v>0</v>
      </c>
      <c r="AP131" s="31">
        <f>H131*(1-0.780342854125488)</f>
        <v>0</v>
      </c>
      <c r="AQ131" s="26" t="s">
        <v>7</v>
      </c>
      <c r="AV131" s="31">
        <f>AW131+AX131</f>
        <v>0</v>
      </c>
      <c r="AW131" s="31">
        <f>G131*AO131</f>
        <v>0</v>
      </c>
      <c r="AX131" s="31">
        <f>G131*AP131</f>
        <v>0</v>
      </c>
      <c r="AY131" s="32" t="s">
        <v>501</v>
      </c>
      <c r="AZ131" s="32" t="s">
        <v>532</v>
      </c>
      <c r="BA131" s="25" t="s">
        <v>541</v>
      </c>
      <c r="BC131" s="31">
        <f>AW131+AX131</f>
        <v>0</v>
      </c>
      <c r="BD131" s="31">
        <f>H131/(100-BE131)*100</f>
        <v>0</v>
      </c>
      <c r="BE131" s="31">
        <v>0</v>
      </c>
      <c r="BF131" s="31">
        <f>131</f>
        <v>131</v>
      </c>
      <c r="BH131" s="15">
        <f>G131*AO131</f>
        <v>0</v>
      </c>
      <c r="BI131" s="15">
        <f>G131*AP131</f>
        <v>0</v>
      </c>
      <c r="BJ131" s="15">
        <f>G131*H131</f>
        <v>0</v>
      </c>
    </row>
    <row r="132" spans="1:62" x14ac:dyDescent="0.2">
      <c r="A132" s="4" t="s">
        <v>92</v>
      </c>
      <c r="B132" s="4" t="s">
        <v>245</v>
      </c>
      <c r="C132" s="136" t="s">
        <v>394</v>
      </c>
      <c r="D132" s="137"/>
      <c r="E132" s="137"/>
      <c r="F132" s="4" t="s">
        <v>460</v>
      </c>
      <c r="G132" s="65">
        <v>69.724999999999994</v>
      </c>
      <c r="H132" s="15">
        <v>0</v>
      </c>
      <c r="I132" s="15">
        <f>G132*AO132</f>
        <v>0</v>
      </c>
      <c r="J132" s="15">
        <f>G132*AP132</f>
        <v>0</v>
      </c>
      <c r="K132" s="15">
        <f>G132*H132</f>
        <v>0</v>
      </c>
      <c r="L132" s="26" t="s">
        <v>476</v>
      </c>
      <c r="Z132" s="31">
        <f>IF(AQ132="5",BJ132,0)</f>
        <v>0</v>
      </c>
      <c r="AB132" s="31">
        <f>IF(AQ132="1",BH132,0)</f>
        <v>0</v>
      </c>
      <c r="AC132" s="31">
        <f>IF(AQ132="1",BI132,0)</f>
        <v>0</v>
      </c>
      <c r="AD132" s="31">
        <f>IF(AQ132="7",BH132,0)</f>
        <v>0</v>
      </c>
      <c r="AE132" s="31">
        <f>IF(AQ132="7",BI132,0)</f>
        <v>0</v>
      </c>
      <c r="AF132" s="31">
        <f>IF(AQ132="2",BH132,0)</f>
        <v>0</v>
      </c>
      <c r="AG132" s="31">
        <f>IF(AQ132="2",BI132,0)</f>
        <v>0</v>
      </c>
      <c r="AH132" s="31">
        <f>IF(AQ132="0",BJ132,0)</f>
        <v>0</v>
      </c>
      <c r="AI132" s="25" t="s">
        <v>487</v>
      </c>
      <c r="AJ132" s="15">
        <f>IF(AN132=0,K132,0)</f>
        <v>0</v>
      </c>
      <c r="AK132" s="15">
        <f>IF(AN132=15,K132,0)</f>
        <v>0</v>
      </c>
      <c r="AL132" s="15">
        <f>IF(AN132=21,K132,0)</f>
        <v>0</v>
      </c>
      <c r="AN132" s="31">
        <v>21</v>
      </c>
      <c r="AO132" s="31">
        <f>H132*0.604107604235531</f>
        <v>0</v>
      </c>
      <c r="AP132" s="31">
        <f>H132*(1-0.604107604235531)</f>
        <v>0</v>
      </c>
      <c r="AQ132" s="26" t="s">
        <v>7</v>
      </c>
      <c r="AV132" s="31">
        <f>AW132+AX132</f>
        <v>0</v>
      </c>
      <c r="AW132" s="31">
        <f>G132*AO132</f>
        <v>0</v>
      </c>
      <c r="AX132" s="31">
        <f>G132*AP132</f>
        <v>0</v>
      </c>
      <c r="AY132" s="32" t="s">
        <v>501</v>
      </c>
      <c r="AZ132" s="32" t="s">
        <v>532</v>
      </c>
      <c r="BA132" s="25" t="s">
        <v>541</v>
      </c>
      <c r="BC132" s="31">
        <f>AW132+AX132</f>
        <v>0</v>
      </c>
      <c r="BD132" s="31">
        <f>H132/(100-BE132)*100</f>
        <v>0</v>
      </c>
      <c r="BE132" s="31">
        <v>0</v>
      </c>
      <c r="BF132" s="31">
        <f>132</f>
        <v>132</v>
      </c>
      <c r="BH132" s="15">
        <f>G132*AO132</f>
        <v>0</v>
      </c>
      <c r="BI132" s="15">
        <f>G132*AP132</f>
        <v>0</v>
      </c>
      <c r="BJ132" s="15">
        <f>G132*H132</f>
        <v>0</v>
      </c>
    </row>
    <row r="133" spans="1:62" x14ac:dyDescent="0.2">
      <c r="A133" s="3"/>
      <c r="B133" s="11" t="s">
        <v>99</v>
      </c>
      <c r="C133" s="134" t="s">
        <v>395</v>
      </c>
      <c r="D133" s="135"/>
      <c r="E133" s="135"/>
      <c r="F133" s="3" t="s">
        <v>6</v>
      </c>
      <c r="G133" s="3" t="s">
        <v>6</v>
      </c>
      <c r="H133" s="3" t="s">
        <v>6</v>
      </c>
      <c r="I133" s="33">
        <f>SUM(I134:I135)</f>
        <v>0</v>
      </c>
      <c r="J133" s="33">
        <f>SUM(J134:J135)</f>
        <v>0</v>
      </c>
      <c r="K133" s="33">
        <f>SUM(K134:K135)</f>
        <v>0</v>
      </c>
      <c r="L133" s="25"/>
      <c r="AI133" s="25" t="s">
        <v>487</v>
      </c>
      <c r="AS133" s="33">
        <f>SUM(AJ134:AJ135)</f>
        <v>0</v>
      </c>
      <c r="AT133" s="33">
        <f>SUM(AK134:AK135)</f>
        <v>0</v>
      </c>
      <c r="AU133" s="33">
        <f>SUM(AL134:AL135)</f>
        <v>0</v>
      </c>
    </row>
    <row r="134" spans="1:62" x14ac:dyDescent="0.2">
      <c r="A134" s="4" t="s">
        <v>93</v>
      </c>
      <c r="B134" s="4" t="s">
        <v>246</v>
      </c>
      <c r="C134" s="136" t="s">
        <v>396</v>
      </c>
      <c r="D134" s="137"/>
      <c r="E134" s="137"/>
      <c r="F134" s="4" t="s">
        <v>457</v>
      </c>
      <c r="G134" s="65">
        <v>0.29299999999999998</v>
      </c>
      <c r="H134" s="15">
        <v>0</v>
      </c>
      <c r="I134" s="15">
        <f>G134*AO134</f>
        <v>0</v>
      </c>
      <c r="J134" s="15">
        <f>G134*AP134</f>
        <v>0</v>
      </c>
      <c r="K134" s="15">
        <f>G134*H134</f>
        <v>0</v>
      </c>
      <c r="L134" s="26" t="s">
        <v>476</v>
      </c>
      <c r="Z134" s="31">
        <f>IF(AQ134="5",BJ134,0)</f>
        <v>0</v>
      </c>
      <c r="AB134" s="31">
        <f>IF(AQ134="1",BH134,0)</f>
        <v>0</v>
      </c>
      <c r="AC134" s="31">
        <f>IF(AQ134="1",BI134,0)</f>
        <v>0</v>
      </c>
      <c r="AD134" s="31">
        <f>IF(AQ134="7",BH134,0)</f>
        <v>0</v>
      </c>
      <c r="AE134" s="31">
        <f>IF(AQ134="7",BI134,0)</f>
        <v>0</v>
      </c>
      <c r="AF134" s="31">
        <f>IF(AQ134="2",BH134,0)</f>
        <v>0</v>
      </c>
      <c r="AG134" s="31">
        <f>IF(AQ134="2",BI134,0)</f>
        <v>0</v>
      </c>
      <c r="AH134" s="31">
        <f>IF(AQ134="0",BJ134,0)</f>
        <v>0</v>
      </c>
      <c r="AI134" s="25" t="s">
        <v>487</v>
      </c>
      <c r="AJ134" s="15">
        <f>IF(AN134=0,K134,0)</f>
        <v>0</v>
      </c>
      <c r="AK134" s="15">
        <f>IF(AN134=15,K134,0)</f>
        <v>0</v>
      </c>
      <c r="AL134" s="15">
        <f>IF(AN134=21,K134,0)</f>
        <v>0</v>
      </c>
      <c r="AN134" s="31">
        <v>21</v>
      </c>
      <c r="AO134" s="31">
        <f>H134*0</f>
        <v>0</v>
      </c>
      <c r="AP134" s="31">
        <f>H134*(1-0)</f>
        <v>0</v>
      </c>
      <c r="AQ134" s="26" t="s">
        <v>7</v>
      </c>
      <c r="AV134" s="31">
        <f>AW134+AX134</f>
        <v>0</v>
      </c>
      <c r="AW134" s="31">
        <f>G134*AO134</f>
        <v>0</v>
      </c>
      <c r="AX134" s="31">
        <f>G134*AP134</f>
        <v>0</v>
      </c>
      <c r="AY134" s="32" t="s">
        <v>512</v>
      </c>
      <c r="AZ134" s="32" t="s">
        <v>532</v>
      </c>
      <c r="BA134" s="25" t="s">
        <v>541</v>
      </c>
      <c r="BC134" s="31">
        <f>AW134+AX134</f>
        <v>0</v>
      </c>
      <c r="BD134" s="31">
        <f>H134/(100-BE134)*100</f>
        <v>0</v>
      </c>
      <c r="BE134" s="31">
        <v>0</v>
      </c>
      <c r="BF134" s="31">
        <f>134</f>
        <v>134</v>
      </c>
      <c r="BH134" s="15">
        <f>G134*AO134</f>
        <v>0</v>
      </c>
      <c r="BI134" s="15">
        <f>G134*AP134</f>
        <v>0</v>
      </c>
      <c r="BJ134" s="15">
        <f>G134*H134</f>
        <v>0</v>
      </c>
    </row>
    <row r="135" spans="1:62" x14ac:dyDescent="0.2">
      <c r="A135" s="4" t="s">
        <v>94</v>
      </c>
      <c r="B135" s="4" t="s">
        <v>247</v>
      </c>
      <c r="C135" s="136" t="s">
        <v>397</v>
      </c>
      <c r="D135" s="137"/>
      <c r="E135" s="137"/>
      <c r="F135" s="4" t="s">
        <v>457</v>
      </c>
      <c r="G135" s="65">
        <v>11.186</v>
      </c>
      <c r="H135" s="15">
        <v>0</v>
      </c>
      <c r="I135" s="15">
        <f>G135*AO135</f>
        <v>0</v>
      </c>
      <c r="J135" s="15">
        <f>G135*AP135</f>
        <v>0</v>
      </c>
      <c r="K135" s="15">
        <f>G135*H135</f>
        <v>0</v>
      </c>
      <c r="L135" s="26" t="s">
        <v>476</v>
      </c>
      <c r="Z135" s="31">
        <f>IF(AQ135="5",BJ135,0)</f>
        <v>0</v>
      </c>
      <c r="AB135" s="31">
        <f>IF(AQ135="1",BH135,0)</f>
        <v>0</v>
      </c>
      <c r="AC135" s="31">
        <f>IF(AQ135="1",BI135,0)</f>
        <v>0</v>
      </c>
      <c r="AD135" s="31">
        <f>IF(AQ135="7",BH135,0)</f>
        <v>0</v>
      </c>
      <c r="AE135" s="31">
        <f>IF(AQ135="7",BI135,0)</f>
        <v>0</v>
      </c>
      <c r="AF135" s="31">
        <f>IF(AQ135="2",BH135,0)</f>
        <v>0</v>
      </c>
      <c r="AG135" s="31">
        <f>IF(AQ135="2",BI135,0)</f>
        <v>0</v>
      </c>
      <c r="AH135" s="31">
        <f>IF(AQ135="0",BJ135,0)</f>
        <v>0</v>
      </c>
      <c r="AI135" s="25" t="s">
        <v>487</v>
      </c>
      <c r="AJ135" s="15">
        <f>IF(AN135=0,K135,0)</f>
        <v>0</v>
      </c>
      <c r="AK135" s="15">
        <f>IF(AN135=15,K135,0)</f>
        <v>0</v>
      </c>
      <c r="AL135" s="15">
        <f>IF(AN135=21,K135,0)</f>
        <v>0</v>
      </c>
      <c r="AN135" s="31">
        <v>21</v>
      </c>
      <c r="AO135" s="31">
        <f>H135*0</f>
        <v>0</v>
      </c>
      <c r="AP135" s="31">
        <f>H135*(1-0)</f>
        <v>0</v>
      </c>
      <c r="AQ135" s="26" t="s">
        <v>7</v>
      </c>
      <c r="AV135" s="31">
        <f>AW135+AX135</f>
        <v>0</v>
      </c>
      <c r="AW135" s="31">
        <f>G135*AO135</f>
        <v>0</v>
      </c>
      <c r="AX135" s="31">
        <f>G135*AP135</f>
        <v>0</v>
      </c>
      <c r="AY135" s="32" t="s">
        <v>512</v>
      </c>
      <c r="AZ135" s="32" t="s">
        <v>532</v>
      </c>
      <c r="BA135" s="25" t="s">
        <v>541</v>
      </c>
      <c r="BC135" s="31">
        <f>AW135+AX135</f>
        <v>0</v>
      </c>
      <c r="BD135" s="31">
        <f>H135/(100-BE135)*100</f>
        <v>0</v>
      </c>
      <c r="BE135" s="31">
        <v>0</v>
      </c>
      <c r="BF135" s="31">
        <f>135</f>
        <v>135</v>
      </c>
      <c r="BH135" s="15">
        <f>G135*AO135</f>
        <v>0</v>
      </c>
      <c r="BI135" s="15">
        <f>G135*AP135</f>
        <v>0</v>
      </c>
      <c r="BJ135" s="15">
        <f>G135*H135</f>
        <v>0</v>
      </c>
    </row>
    <row r="136" spans="1:62" x14ac:dyDescent="0.2">
      <c r="A136" s="3"/>
      <c r="B136" s="11" t="s">
        <v>102</v>
      </c>
      <c r="C136" s="134" t="s">
        <v>398</v>
      </c>
      <c r="D136" s="135"/>
      <c r="E136" s="135"/>
      <c r="F136" s="3" t="s">
        <v>6</v>
      </c>
      <c r="G136" s="3" t="s">
        <v>6</v>
      </c>
      <c r="H136" s="3" t="s">
        <v>6</v>
      </c>
      <c r="I136" s="33">
        <f>SUM(I137:I141)</f>
        <v>0</v>
      </c>
      <c r="J136" s="33">
        <f>SUM(J137:J141)</f>
        <v>0</v>
      </c>
      <c r="K136" s="33">
        <f>SUM(K137:K141)</f>
        <v>0</v>
      </c>
      <c r="L136" s="25"/>
      <c r="AI136" s="25" t="s">
        <v>487</v>
      </c>
      <c r="AS136" s="33">
        <f>SUM(AJ137:AJ141)</f>
        <v>0</v>
      </c>
      <c r="AT136" s="33">
        <f>SUM(AK137:AK141)</f>
        <v>0</v>
      </c>
      <c r="AU136" s="33">
        <f>SUM(AL137:AL141)</f>
        <v>0</v>
      </c>
    </row>
    <row r="137" spans="1:62" x14ac:dyDescent="0.2">
      <c r="A137" s="4" t="s">
        <v>95</v>
      </c>
      <c r="B137" s="4" t="s">
        <v>248</v>
      </c>
      <c r="C137" s="136" t="s">
        <v>399</v>
      </c>
      <c r="D137" s="137"/>
      <c r="E137" s="137"/>
      <c r="F137" s="4" t="s">
        <v>459</v>
      </c>
      <c r="G137" s="65">
        <v>12.521000000000001</v>
      </c>
      <c r="H137" s="15">
        <v>0</v>
      </c>
      <c r="I137" s="15">
        <f>G137*AO137</f>
        <v>0</v>
      </c>
      <c r="J137" s="15">
        <f>G137*AP137</f>
        <v>0</v>
      </c>
      <c r="K137" s="15">
        <f>G137*H137</f>
        <v>0</v>
      </c>
      <c r="L137" s="26" t="s">
        <v>476</v>
      </c>
      <c r="Z137" s="31">
        <f>IF(AQ137="5",BJ137,0)</f>
        <v>0</v>
      </c>
      <c r="AB137" s="31">
        <f>IF(AQ137="1",BH137,0)</f>
        <v>0</v>
      </c>
      <c r="AC137" s="31">
        <f>IF(AQ137="1",BI137,0)</f>
        <v>0</v>
      </c>
      <c r="AD137" s="31">
        <f>IF(AQ137="7",BH137,0)</f>
        <v>0</v>
      </c>
      <c r="AE137" s="31">
        <f>IF(AQ137="7",BI137,0)</f>
        <v>0</v>
      </c>
      <c r="AF137" s="31">
        <f>IF(AQ137="2",BH137,0)</f>
        <v>0</v>
      </c>
      <c r="AG137" s="31">
        <f>IF(AQ137="2",BI137,0)</f>
        <v>0</v>
      </c>
      <c r="AH137" s="31">
        <f>IF(AQ137="0",BJ137,0)</f>
        <v>0</v>
      </c>
      <c r="AI137" s="25" t="s">
        <v>487</v>
      </c>
      <c r="AJ137" s="15">
        <f>IF(AN137=0,K137,0)</f>
        <v>0</v>
      </c>
      <c r="AK137" s="15">
        <f>IF(AN137=15,K137,0)</f>
        <v>0</v>
      </c>
      <c r="AL137" s="15">
        <f>IF(AN137=21,K137,0)</f>
        <v>0</v>
      </c>
      <c r="AN137" s="31">
        <v>21</v>
      </c>
      <c r="AO137" s="31">
        <f>H137*0</f>
        <v>0</v>
      </c>
      <c r="AP137" s="31">
        <f>H137*(1-0)</f>
        <v>0</v>
      </c>
      <c r="AQ137" s="26" t="s">
        <v>7</v>
      </c>
      <c r="AV137" s="31">
        <f>AW137+AX137</f>
        <v>0</v>
      </c>
      <c r="AW137" s="31">
        <f>G137*AO137</f>
        <v>0</v>
      </c>
      <c r="AX137" s="31">
        <f>G137*AP137</f>
        <v>0</v>
      </c>
      <c r="AY137" s="32" t="s">
        <v>513</v>
      </c>
      <c r="AZ137" s="32" t="s">
        <v>532</v>
      </c>
      <c r="BA137" s="25" t="s">
        <v>541</v>
      </c>
      <c r="BC137" s="31">
        <f>AW137+AX137</f>
        <v>0</v>
      </c>
      <c r="BD137" s="31">
        <f>H137/(100-BE137)*100</f>
        <v>0</v>
      </c>
      <c r="BE137" s="31">
        <v>0</v>
      </c>
      <c r="BF137" s="31">
        <f>137</f>
        <v>137</v>
      </c>
      <c r="BH137" s="15">
        <f>G137*AO137</f>
        <v>0</v>
      </c>
      <c r="BI137" s="15">
        <f>G137*AP137</f>
        <v>0</v>
      </c>
      <c r="BJ137" s="15">
        <f>G137*H137</f>
        <v>0</v>
      </c>
    </row>
    <row r="138" spans="1:62" x14ac:dyDescent="0.2">
      <c r="A138" s="4" t="s">
        <v>96</v>
      </c>
      <c r="B138" s="4" t="s">
        <v>249</v>
      </c>
      <c r="C138" s="136" t="s">
        <v>400</v>
      </c>
      <c r="D138" s="137"/>
      <c r="E138" s="137"/>
      <c r="F138" s="4" t="s">
        <v>457</v>
      </c>
      <c r="G138" s="65">
        <v>1.4239999999999999</v>
      </c>
      <c r="H138" s="15">
        <v>0</v>
      </c>
      <c r="I138" s="15">
        <f>G138*AO138</f>
        <v>0</v>
      </c>
      <c r="J138" s="15">
        <f>G138*AP138</f>
        <v>0</v>
      </c>
      <c r="K138" s="15">
        <f>G138*H138</f>
        <v>0</v>
      </c>
      <c r="L138" s="26" t="s">
        <v>476</v>
      </c>
      <c r="Z138" s="31">
        <f>IF(AQ138="5",BJ138,0)</f>
        <v>0</v>
      </c>
      <c r="AB138" s="31">
        <f>IF(AQ138="1",BH138,0)</f>
        <v>0</v>
      </c>
      <c r="AC138" s="31">
        <f>IF(AQ138="1",BI138,0)</f>
        <v>0</v>
      </c>
      <c r="AD138" s="31">
        <f>IF(AQ138="7",BH138,0)</f>
        <v>0</v>
      </c>
      <c r="AE138" s="31">
        <f>IF(AQ138="7",BI138,0)</f>
        <v>0</v>
      </c>
      <c r="AF138" s="31">
        <f>IF(AQ138="2",BH138,0)</f>
        <v>0</v>
      </c>
      <c r="AG138" s="31">
        <f>IF(AQ138="2",BI138,0)</f>
        <v>0</v>
      </c>
      <c r="AH138" s="31">
        <f>IF(AQ138="0",BJ138,0)</f>
        <v>0</v>
      </c>
      <c r="AI138" s="25" t="s">
        <v>487</v>
      </c>
      <c r="AJ138" s="15">
        <f>IF(AN138=0,K138,0)</f>
        <v>0</v>
      </c>
      <c r="AK138" s="15">
        <f>IF(AN138=15,K138,0)</f>
        <v>0</v>
      </c>
      <c r="AL138" s="15">
        <f>IF(AN138=21,K138,0)</f>
        <v>0</v>
      </c>
      <c r="AN138" s="31">
        <v>21</v>
      </c>
      <c r="AO138" s="31">
        <f>H138*0</f>
        <v>0</v>
      </c>
      <c r="AP138" s="31">
        <f>H138*(1-0)</f>
        <v>0</v>
      </c>
      <c r="AQ138" s="26" t="s">
        <v>7</v>
      </c>
      <c r="AV138" s="31">
        <f>AW138+AX138</f>
        <v>0</v>
      </c>
      <c r="AW138" s="31">
        <f>G138*AO138</f>
        <v>0</v>
      </c>
      <c r="AX138" s="31">
        <f>G138*AP138</f>
        <v>0</v>
      </c>
      <c r="AY138" s="32" t="s">
        <v>513</v>
      </c>
      <c r="AZ138" s="32" t="s">
        <v>532</v>
      </c>
      <c r="BA138" s="25" t="s">
        <v>541</v>
      </c>
      <c r="BC138" s="31">
        <f>AW138+AX138</f>
        <v>0</v>
      </c>
      <c r="BD138" s="31">
        <f>H138/(100-BE138)*100</f>
        <v>0</v>
      </c>
      <c r="BE138" s="31">
        <v>0</v>
      </c>
      <c r="BF138" s="31">
        <f>138</f>
        <v>138</v>
      </c>
      <c r="BH138" s="15">
        <f>G138*AO138</f>
        <v>0</v>
      </c>
      <c r="BI138" s="15">
        <f>G138*AP138</f>
        <v>0</v>
      </c>
      <c r="BJ138" s="15">
        <f>G138*H138</f>
        <v>0</v>
      </c>
    </row>
    <row r="139" spans="1:62" x14ac:dyDescent="0.2">
      <c r="A139" s="4" t="s">
        <v>97</v>
      </c>
      <c r="B139" s="4" t="s">
        <v>250</v>
      </c>
      <c r="C139" s="136" t="s">
        <v>401</v>
      </c>
      <c r="D139" s="137"/>
      <c r="E139" s="137"/>
      <c r="F139" s="4" t="s">
        <v>457</v>
      </c>
      <c r="G139" s="65">
        <v>1.4239999999999999</v>
      </c>
      <c r="H139" s="15">
        <v>0</v>
      </c>
      <c r="I139" s="15">
        <f>G139*AO139</f>
        <v>0</v>
      </c>
      <c r="J139" s="15">
        <f>G139*AP139</f>
        <v>0</v>
      </c>
      <c r="K139" s="15">
        <f>G139*H139</f>
        <v>0</v>
      </c>
      <c r="L139" s="26" t="s">
        <v>476</v>
      </c>
      <c r="Z139" s="31">
        <f>IF(AQ139="5",BJ139,0)</f>
        <v>0</v>
      </c>
      <c r="AB139" s="31">
        <f>IF(AQ139="1",BH139,0)</f>
        <v>0</v>
      </c>
      <c r="AC139" s="31">
        <f>IF(AQ139="1",BI139,0)</f>
        <v>0</v>
      </c>
      <c r="AD139" s="31">
        <f>IF(AQ139="7",BH139,0)</f>
        <v>0</v>
      </c>
      <c r="AE139" s="31">
        <f>IF(AQ139="7",BI139,0)</f>
        <v>0</v>
      </c>
      <c r="AF139" s="31">
        <f>IF(AQ139="2",BH139,0)</f>
        <v>0</v>
      </c>
      <c r="AG139" s="31">
        <f>IF(AQ139="2",BI139,0)</f>
        <v>0</v>
      </c>
      <c r="AH139" s="31">
        <f>IF(AQ139="0",BJ139,0)</f>
        <v>0</v>
      </c>
      <c r="AI139" s="25" t="s">
        <v>487</v>
      </c>
      <c r="AJ139" s="15">
        <f>IF(AN139=0,K139,0)</f>
        <v>0</v>
      </c>
      <c r="AK139" s="15">
        <f>IF(AN139=15,K139,0)</f>
        <v>0</v>
      </c>
      <c r="AL139" s="15">
        <f>IF(AN139=21,K139,0)</f>
        <v>0</v>
      </c>
      <c r="AN139" s="31">
        <v>21</v>
      </c>
      <c r="AO139" s="31">
        <f>H139*0</f>
        <v>0</v>
      </c>
      <c r="AP139" s="31">
        <f>H139*(1-0)</f>
        <v>0</v>
      </c>
      <c r="AQ139" s="26" t="s">
        <v>7</v>
      </c>
      <c r="AV139" s="31">
        <f>AW139+AX139</f>
        <v>0</v>
      </c>
      <c r="AW139" s="31">
        <f>G139*AO139</f>
        <v>0</v>
      </c>
      <c r="AX139" s="31">
        <f>G139*AP139</f>
        <v>0</v>
      </c>
      <c r="AY139" s="32" t="s">
        <v>513</v>
      </c>
      <c r="AZ139" s="32" t="s">
        <v>532</v>
      </c>
      <c r="BA139" s="25" t="s">
        <v>541</v>
      </c>
      <c r="BC139" s="31">
        <f>AW139+AX139</f>
        <v>0</v>
      </c>
      <c r="BD139" s="31">
        <f>H139/(100-BE139)*100</f>
        <v>0</v>
      </c>
      <c r="BE139" s="31">
        <v>0</v>
      </c>
      <c r="BF139" s="31">
        <f>139</f>
        <v>139</v>
      </c>
      <c r="BH139" s="15">
        <f>G139*AO139</f>
        <v>0</v>
      </c>
      <c r="BI139" s="15">
        <f>G139*AP139</f>
        <v>0</v>
      </c>
      <c r="BJ139" s="15">
        <f>G139*H139</f>
        <v>0</v>
      </c>
    </row>
    <row r="140" spans="1:62" x14ac:dyDescent="0.2">
      <c r="A140" s="4" t="s">
        <v>98</v>
      </c>
      <c r="B140" s="4" t="s">
        <v>251</v>
      </c>
      <c r="C140" s="136" t="s">
        <v>402</v>
      </c>
      <c r="D140" s="137"/>
      <c r="E140" s="137"/>
      <c r="F140" s="4" t="s">
        <v>460</v>
      </c>
      <c r="G140" s="65">
        <v>6.8</v>
      </c>
      <c r="H140" s="15">
        <v>0</v>
      </c>
      <c r="I140" s="15">
        <f>G140*AO140</f>
        <v>0</v>
      </c>
      <c r="J140" s="15">
        <f>G140*AP140</f>
        <v>0</v>
      </c>
      <c r="K140" s="15">
        <f>G140*H140</f>
        <v>0</v>
      </c>
      <c r="L140" s="26" t="s">
        <v>476</v>
      </c>
      <c r="Z140" s="31">
        <f>IF(AQ140="5",BJ140,0)</f>
        <v>0</v>
      </c>
      <c r="AB140" s="31">
        <f>IF(AQ140="1",BH140,0)</f>
        <v>0</v>
      </c>
      <c r="AC140" s="31">
        <f>IF(AQ140="1",BI140,0)</f>
        <v>0</v>
      </c>
      <c r="AD140" s="31">
        <f>IF(AQ140="7",BH140,0)</f>
        <v>0</v>
      </c>
      <c r="AE140" s="31">
        <f>IF(AQ140="7",BI140,0)</f>
        <v>0</v>
      </c>
      <c r="AF140" s="31">
        <f>IF(AQ140="2",BH140,0)</f>
        <v>0</v>
      </c>
      <c r="AG140" s="31">
        <f>IF(AQ140="2",BI140,0)</f>
        <v>0</v>
      </c>
      <c r="AH140" s="31">
        <f>IF(AQ140="0",BJ140,0)</f>
        <v>0</v>
      </c>
      <c r="AI140" s="25" t="s">
        <v>487</v>
      </c>
      <c r="AJ140" s="15">
        <f>IF(AN140=0,K140,0)</f>
        <v>0</v>
      </c>
      <c r="AK140" s="15">
        <f>IF(AN140=15,K140,0)</f>
        <v>0</v>
      </c>
      <c r="AL140" s="15">
        <f>IF(AN140=21,K140,0)</f>
        <v>0</v>
      </c>
      <c r="AN140" s="31">
        <v>21</v>
      </c>
      <c r="AO140" s="31">
        <f>H140*0</f>
        <v>0</v>
      </c>
      <c r="AP140" s="31">
        <f>H140*(1-0)</f>
        <v>0</v>
      </c>
      <c r="AQ140" s="26" t="s">
        <v>7</v>
      </c>
      <c r="AV140" s="31">
        <f>AW140+AX140</f>
        <v>0</v>
      </c>
      <c r="AW140" s="31">
        <f>G140*AO140</f>
        <v>0</v>
      </c>
      <c r="AX140" s="31">
        <f>G140*AP140</f>
        <v>0</v>
      </c>
      <c r="AY140" s="32" t="s">
        <v>513</v>
      </c>
      <c r="AZ140" s="32" t="s">
        <v>532</v>
      </c>
      <c r="BA140" s="25" t="s">
        <v>541</v>
      </c>
      <c r="BC140" s="31">
        <f>AW140+AX140</f>
        <v>0</v>
      </c>
      <c r="BD140" s="31">
        <f>H140/(100-BE140)*100</f>
        <v>0</v>
      </c>
      <c r="BE140" s="31">
        <v>0</v>
      </c>
      <c r="BF140" s="31">
        <f>140</f>
        <v>140</v>
      </c>
      <c r="BH140" s="15">
        <f>G140*AO140</f>
        <v>0</v>
      </c>
      <c r="BI140" s="15">
        <f>G140*AP140</f>
        <v>0</v>
      </c>
      <c r="BJ140" s="15">
        <f>G140*H140</f>
        <v>0</v>
      </c>
    </row>
    <row r="141" spans="1:62" x14ac:dyDescent="0.2">
      <c r="A141" s="4" t="s">
        <v>99</v>
      </c>
      <c r="B141" s="4" t="s">
        <v>252</v>
      </c>
      <c r="C141" s="136" t="s">
        <v>403</v>
      </c>
      <c r="D141" s="137"/>
      <c r="E141" s="137"/>
      <c r="F141" s="4" t="s">
        <v>459</v>
      </c>
      <c r="G141" s="65">
        <v>21.914999999999999</v>
      </c>
      <c r="H141" s="15">
        <v>0</v>
      </c>
      <c r="I141" s="15">
        <f>G141*AO141</f>
        <v>0</v>
      </c>
      <c r="J141" s="15">
        <f>G141*AP141</f>
        <v>0</v>
      </c>
      <c r="K141" s="15">
        <f>G141*H141</f>
        <v>0</v>
      </c>
      <c r="L141" s="26" t="s">
        <v>476</v>
      </c>
      <c r="Z141" s="31">
        <f>IF(AQ141="5",BJ141,0)</f>
        <v>0</v>
      </c>
      <c r="AB141" s="31">
        <f>IF(AQ141="1",BH141,0)</f>
        <v>0</v>
      </c>
      <c r="AC141" s="31">
        <f>IF(AQ141="1",BI141,0)</f>
        <v>0</v>
      </c>
      <c r="AD141" s="31">
        <f>IF(AQ141="7",BH141,0)</f>
        <v>0</v>
      </c>
      <c r="AE141" s="31">
        <f>IF(AQ141="7",BI141,0)</f>
        <v>0</v>
      </c>
      <c r="AF141" s="31">
        <f>IF(AQ141="2",BH141,0)</f>
        <v>0</v>
      </c>
      <c r="AG141" s="31">
        <f>IF(AQ141="2",BI141,0)</f>
        <v>0</v>
      </c>
      <c r="AH141" s="31">
        <f>IF(AQ141="0",BJ141,0)</f>
        <v>0</v>
      </c>
      <c r="AI141" s="25" t="s">
        <v>487</v>
      </c>
      <c r="AJ141" s="15">
        <f>IF(AN141=0,K141,0)</f>
        <v>0</v>
      </c>
      <c r="AK141" s="15">
        <f>IF(AN141=15,K141,0)</f>
        <v>0</v>
      </c>
      <c r="AL141" s="15">
        <f>IF(AN141=21,K141,0)</f>
        <v>0</v>
      </c>
      <c r="AN141" s="31">
        <v>21</v>
      </c>
      <c r="AO141" s="31">
        <f>H141*0</f>
        <v>0</v>
      </c>
      <c r="AP141" s="31">
        <f>H141*(1-0)</f>
        <v>0</v>
      </c>
      <c r="AQ141" s="26" t="s">
        <v>7</v>
      </c>
      <c r="AV141" s="31">
        <f>AW141+AX141</f>
        <v>0</v>
      </c>
      <c r="AW141" s="31">
        <f>G141*AO141</f>
        <v>0</v>
      </c>
      <c r="AX141" s="31">
        <f>G141*AP141</f>
        <v>0</v>
      </c>
      <c r="AY141" s="32" t="s">
        <v>513</v>
      </c>
      <c r="AZ141" s="32" t="s">
        <v>532</v>
      </c>
      <c r="BA141" s="25" t="s">
        <v>541</v>
      </c>
      <c r="BC141" s="31">
        <f>AW141+AX141</f>
        <v>0</v>
      </c>
      <c r="BD141" s="31">
        <f>H141/(100-BE141)*100</f>
        <v>0</v>
      </c>
      <c r="BE141" s="31">
        <v>0</v>
      </c>
      <c r="BF141" s="31">
        <f>141</f>
        <v>141</v>
      </c>
      <c r="BH141" s="15">
        <f>G141*AO141</f>
        <v>0</v>
      </c>
      <c r="BI141" s="15">
        <f>G141*AP141</f>
        <v>0</v>
      </c>
      <c r="BJ141" s="15">
        <f>G141*H141</f>
        <v>0</v>
      </c>
    </row>
    <row r="142" spans="1:62" x14ac:dyDescent="0.2">
      <c r="A142" s="3"/>
      <c r="B142" s="11" t="s">
        <v>103</v>
      </c>
      <c r="C142" s="134" t="s">
        <v>332</v>
      </c>
      <c r="D142" s="135"/>
      <c r="E142" s="135"/>
      <c r="F142" s="3" t="s">
        <v>6</v>
      </c>
      <c r="G142" s="3" t="s">
        <v>6</v>
      </c>
      <c r="H142" s="3" t="s">
        <v>6</v>
      </c>
      <c r="I142" s="33">
        <f>SUM(I143:I146)</f>
        <v>0</v>
      </c>
      <c r="J142" s="33">
        <f>SUM(J143:J146)</f>
        <v>0</v>
      </c>
      <c r="K142" s="33">
        <f>SUM(K143:K146)</f>
        <v>0</v>
      </c>
      <c r="L142" s="25"/>
      <c r="AI142" s="25" t="s">
        <v>487</v>
      </c>
      <c r="AS142" s="33">
        <f>SUM(AJ143:AJ146)</f>
        <v>0</v>
      </c>
      <c r="AT142" s="33">
        <f>SUM(AK143:AK146)</f>
        <v>0</v>
      </c>
      <c r="AU142" s="33">
        <f>SUM(AL143:AL146)</f>
        <v>0</v>
      </c>
    </row>
    <row r="143" spans="1:62" x14ac:dyDescent="0.2">
      <c r="A143" s="4" t="s">
        <v>100</v>
      </c>
      <c r="B143" s="4" t="s">
        <v>192</v>
      </c>
      <c r="C143" s="136" t="s">
        <v>404</v>
      </c>
      <c r="D143" s="137"/>
      <c r="E143" s="137"/>
      <c r="F143" s="4" t="s">
        <v>459</v>
      </c>
      <c r="G143" s="65">
        <v>10.875</v>
      </c>
      <c r="H143" s="15">
        <v>0</v>
      </c>
      <c r="I143" s="15">
        <f>G143*AO143</f>
        <v>0</v>
      </c>
      <c r="J143" s="15">
        <f>G143*AP143</f>
        <v>0</v>
      </c>
      <c r="K143" s="15">
        <f>G143*H143</f>
        <v>0</v>
      </c>
      <c r="L143" s="26" t="s">
        <v>476</v>
      </c>
      <c r="Z143" s="31">
        <f>IF(AQ143="5",BJ143,0)</f>
        <v>0</v>
      </c>
      <c r="AB143" s="31">
        <f>IF(AQ143="1",BH143,0)</f>
        <v>0</v>
      </c>
      <c r="AC143" s="31">
        <f>IF(AQ143="1",BI143,0)</f>
        <v>0</v>
      </c>
      <c r="AD143" s="31">
        <f>IF(AQ143="7",BH143,0)</f>
        <v>0</v>
      </c>
      <c r="AE143" s="31">
        <f>IF(AQ143="7",BI143,0)</f>
        <v>0</v>
      </c>
      <c r="AF143" s="31">
        <f>IF(AQ143="2",BH143,0)</f>
        <v>0</v>
      </c>
      <c r="AG143" s="31">
        <f>IF(AQ143="2",BI143,0)</f>
        <v>0</v>
      </c>
      <c r="AH143" s="31">
        <f>IF(AQ143="0",BJ143,0)</f>
        <v>0</v>
      </c>
      <c r="AI143" s="25" t="s">
        <v>487</v>
      </c>
      <c r="AJ143" s="15">
        <f>IF(AN143=0,K143,0)</f>
        <v>0</v>
      </c>
      <c r="AK143" s="15">
        <f>IF(AN143=15,K143,0)</f>
        <v>0</v>
      </c>
      <c r="AL143" s="15">
        <f>IF(AN143=21,K143,0)</f>
        <v>0</v>
      </c>
      <c r="AN143" s="31">
        <v>21</v>
      </c>
      <c r="AO143" s="31">
        <f>H143*0</f>
        <v>0</v>
      </c>
      <c r="AP143" s="31">
        <f>H143*(1-0)</f>
        <v>0</v>
      </c>
      <c r="AQ143" s="26" t="s">
        <v>7</v>
      </c>
      <c r="AV143" s="31">
        <f>AW143+AX143</f>
        <v>0</v>
      </c>
      <c r="AW143" s="31">
        <f>G143*AO143</f>
        <v>0</v>
      </c>
      <c r="AX143" s="31">
        <f>G143*AP143</f>
        <v>0</v>
      </c>
      <c r="AY143" s="32" t="s">
        <v>503</v>
      </c>
      <c r="AZ143" s="32" t="s">
        <v>532</v>
      </c>
      <c r="BA143" s="25" t="s">
        <v>541</v>
      </c>
      <c r="BC143" s="31">
        <f>AW143+AX143</f>
        <v>0</v>
      </c>
      <c r="BD143" s="31">
        <f>H143/(100-BE143)*100</f>
        <v>0</v>
      </c>
      <c r="BE143" s="31">
        <v>0</v>
      </c>
      <c r="BF143" s="31">
        <f>143</f>
        <v>143</v>
      </c>
      <c r="BH143" s="15">
        <f>G143*AO143</f>
        <v>0</v>
      </c>
      <c r="BI143" s="15">
        <f>G143*AP143</f>
        <v>0</v>
      </c>
      <c r="BJ143" s="15">
        <f>G143*H143</f>
        <v>0</v>
      </c>
    </row>
    <row r="144" spans="1:62" x14ac:dyDescent="0.2">
      <c r="A144" s="4" t="s">
        <v>101</v>
      </c>
      <c r="B144" s="4" t="s">
        <v>192</v>
      </c>
      <c r="C144" s="136" t="s">
        <v>405</v>
      </c>
      <c r="D144" s="137"/>
      <c r="E144" s="137"/>
      <c r="F144" s="4" t="s">
        <v>459</v>
      </c>
      <c r="G144" s="65">
        <v>49.034999999999997</v>
      </c>
      <c r="H144" s="15">
        <v>0</v>
      </c>
      <c r="I144" s="15">
        <f>G144*AO144</f>
        <v>0</v>
      </c>
      <c r="J144" s="15">
        <f>G144*AP144</f>
        <v>0</v>
      </c>
      <c r="K144" s="15">
        <f>G144*H144</f>
        <v>0</v>
      </c>
      <c r="L144" s="26" t="s">
        <v>476</v>
      </c>
      <c r="Z144" s="31">
        <f>IF(AQ144="5",BJ144,0)</f>
        <v>0</v>
      </c>
      <c r="AB144" s="31">
        <f>IF(AQ144="1",BH144,0)</f>
        <v>0</v>
      </c>
      <c r="AC144" s="31">
        <f>IF(AQ144="1",BI144,0)</f>
        <v>0</v>
      </c>
      <c r="AD144" s="31">
        <f>IF(AQ144="7",BH144,0)</f>
        <v>0</v>
      </c>
      <c r="AE144" s="31">
        <f>IF(AQ144="7",BI144,0)</f>
        <v>0</v>
      </c>
      <c r="AF144" s="31">
        <f>IF(AQ144="2",BH144,0)</f>
        <v>0</v>
      </c>
      <c r="AG144" s="31">
        <f>IF(AQ144="2",BI144,0)</f>
        <v>0</v>
      </c>
      <c r="AH144" s="31">
        <f>IF(AQ144="0",BJ144,0)</f>
        <v>0</v>
      </c>
      <c r="AI144" s="25" t="s">
        <v>487</v>
      </c>
      <c r="AJ144" s="15">
        <f>IF(AN144=0,K144,0)</f>
        <v>0</v>
      </c>
      <c r="AK144" s="15">
        <f>IF(AN144=15,K144,0)</f>
        <v>0</v>
      </c>
      <c r="AL144" s="15">
        <f>IF(AN144=21,K144,0)</f>
        <v>0</v>
      </c>
      <c r="AN144" s="31">
        <v>21</v>
      </c>
      <c r="AO144" s="31">
        <f>H144*0</f>
        <v>0</v>
      </c>
      <c r="AP144" s="31">
        <f>H144*(1-0)</f>
        <v>0</v>
      </c>
      <c r="AQ144" s="26" t="s">
        <v>7</v>
      </c>
      <c r="AV144" s="31">
        <f>AW144+AX144</f>
        <v>0</v>
      </c>
      <c r="AW144" s="31">
        <f>G144*AO144</f>
        <v>0</v>
      </c>
      <c r="AX144" s="31">
        <f>G144*AP144</f>
        <v>0</v>
      </c>
      <c r="AY144" s="32" t="s">
        <v>503</v>
      </c>
      <c r="AZ144" s="32" t="s">
        <v>532</v>
      </c>
      <c r="BA144" s="25" t="s">
        <v>541</v>
      </c>
      <c r="BC144" s="31">
        <f>AW144+AX144</f>
        <v>0</v>
      </c>
      <c r="BD144" s="31">
        <f>H144/(100-BE144)*100</f>
        <v>0</v>
      </c>
      <c r="BE144" s="31">
        <v>0</v>
      </c>
      <c r="BF144" s="31">
        <f>144</f>
        <v>144</v>
      </c>
      <c r="BH144" s="15">
        <f>G144*AO144</f>
        <v>0</v>
      </c>
      <c r="BI144" s="15">
        <f>G144*AP144</f>
        <v>0</v>
      </c>
      <c r="BJ144" s="15">
        <f>G144*H144</f>
        <v>0</v>
      </c>
    </row>
    <row r="145" spans="1:62" x14ac:dyDescent="0.2">
      <c r="A145" s="4" t="s">
        <v>102</v>
      </c>
      <c r="B145" s="4" t="s">
        <v>193</v>
      </c>
      <c r="C145" s="136" t="s">
        <v>406</v>
      </c>
      <c r="D145" s="137"/>
      <c r="E145" s="137"/>
      <c r="F145" s="4" t="s">
        <v>459</v>
      </c>
      <c r="G145" s="65">
        <v>59.91</v>
      </c>
      <c r="H145" s="15">
        <v>0</v>
      </c>
      <c r="I145" s="15">
        <f>G145*AO145</f>
        <v>0</v>
      </c>
      <c r="J145" s="15">
        <f>G145*AP145</f>
        <v>0</v>
      </c>
      <c r="K145" s="15">
        <f>G145*H145</f>
        <v>0</v>
      </c>
      <c r="L145" s="26" t="s">
        <v>476</v>
      </c>
      <c r="Z145" s="31">
        <f>IF(AQ145="5",BJ145,0)</f>
        <v>0</v>
      </c>
      <c r="AB145" s="31">
        <f>IF(AQ145="1",BH145,0)</f>
        <v>0</v>
      </c>
      <c r="AC145" s="31">
        <f>IF(AQ145="1",BI145,0)</f>
        <v>0</v>
      </c>
      <c r="AD145" s="31">
        <f>IF(AQ145="7",BH145,0)</f>
        <v>0</v>
      </c>
      <c r="AE145" s="31">
        <f>IF(AQ145="7",BI145,0)</f>
        <v>0</v>
      </c>
      <c r="AF145" s="31">
        <f>IF(AQ145="2",BH145,0)</f>
        <v>0</v>
      </c>
      <c r="AG145" s="31">
        <f>IF(AQ145="2",BI145,0)</f>
        <v>0</v>
      </c>
      <c r="AH145" s="31">
        <f>IF(AQ145="0",BJ145,0)</f>
        <v>0</v>
      </c>
      <c r="AI145" s="25" t="s">
        <v>487</v>
      </c>
      <c r="AJ145" s="15">
        <f>IF(AN145=0,K145,0)</f>
        <v>0</v>
      </c>
      <c r="AK145" s="15">
        <f>IF(AN145=15,K145,0)</f>
        <v>0</v>
      </c>
      <c r="AL145" s="15">
        <f>IF(AN145=21,K145,0)</f>
        <v>0</v>
      </c>
      <c r="AN145" s="31">
        <v>21</v>
      </c>
      <c r="AO145" s="31">
        <f>H145*0</f>
        <v>0</v>
      </c>
      <c r="AP145" s="31">
        <f>H145*(1-0)</f>
        <v>0</v>
      </c>
      <c r="AQ145" s="26" t="s">
        <v>7</v>
      </c>
      <c r="AV145" s="31">
        <f>AW145+AX145</f>
        <v>0</v>
      </c>
      <c r="AW145" s="31">
        <f>G145*AO145</f>
        <v>0</v>
      </c>
      <c r="AX145" s="31">
        <f>G145*AP145</f>
        <v>0</v>
      </c>
      <c r="AY145" s="32" t="s">
        <v>503</v>
      </c>
      <c r="AZ145" s="32" t="s">
        <v>532</v>
      </c>
      <c r="BA145" s="25" t="s">
        <v>541</v>
      </c>
      <c r="BC145" s="31">
        <f>AW145+AX145</f>
        <v>0</v>
      </c>
      <c r="BD145" s="31">
        <f>H145/(100-BE145)*100</f>
        <v>0</v>
      </c>
      <c r="BE145" s="31">
        <v>0</v>
      </c>
      <c r="BF145" s="31">
        <f>145</f>
        <v>145</v>
      </c>
      <c r="BH145" s="15">
        <f>G145*AO145</f>
        <v>0</v>
      </c>
      <c r="BI145" s="15">
        <f>G145*AP145</f>
        <v>0</v>
      </c>
      <c r="BJ145" s="15">
        <f>G145*H145</f>
        <v>0</v>
      </c>
    </row>
    <row r="146" spans="1:62" x14ac:dyDescent="0.2">
      <c r="A146" s="4" t="s">
        <v>103</v>
      </c>
      <c r="B146" s="4" t="s">
        <v>253</v>
      </c>
      <c r="C146" s="136" t="s">
        <v>407</v>
      </c>
      <c r="D146" s="137"/>
      <c r="E146" s="137"/>
      <c r="F146" s="4" t="s">
        <v>459</v>
      </c>
      <c r="G146" s="65">
        <v>49.034999999999997</v>
      </c>
      <c r="H146" s="15">
        <v>0</v>
      </c>
      <c r="I146" s="15">
        <f>G146*AO146</f>
        <v>0</v>
      </c>
      <c r="J146" s="15">
        <f>G146*AP146</f>
        <v>0</v>
      </c>
      <c r="K146" s="15">
        <f>G146*H146</f>
        <v>0</v>
      </c>
      <c r="L146" s="26" t="s">
        <v>476</v>
      </c>
      <c r="Z146" s="31">
        <f>IF(AQ146="5",BJ146,0)</f>
        <v>0</v>
      </c>
      <c r="AB146" s="31">
        <f>IF(AQ146="1",BH146,0)</f>
        <v>0</v>
      </c>
      <c r="AC146" s="31">
        <f>IF(AQ146="1",BI146,0)</f>
        <v>0</v>
      </c>
      <c r="AD146" s="31">
        <f>IF(AQ146="7",BH146,0)</f>
        <v>0</v>
      </c>
      <c r="AE146" s="31">
        <f>IF(AQ146="7",BI146,0)</f>
        <v>0</v>
      </c>
      <c r="AF146" s="31">
        <f>IF(AQ146="2",BH146,0)</f>
        <v>0</v>
      </c>
      <c r="AG146" s="31">
        <f>IF(AQ146="2",BI146,0)</f>
        <v>0</v>
      </c>
      <c r="AH146" s="31">
        <f>IF(AQ146="0",BJ146,0)</f>
        <v>0</v>
      </c>
      <c r="AI146" s="25" t="s">
        <v>487</v>
      </c>
      <c r="AJ146" s="15">
        <f>IF(AN146=0,K146,0)</f>
        <v>0</v>
      </c>
      <c r="AK146" s="15">
        <f>IF(AN146=15,K146,0)</f>
        <v>0</v>
      </c>
      <c r="AL146" s="15">
        <f>IF(AN146=21,K146,0)</f>
        <v>0</v>
      </c>
      <c r="AN146" s="31">
        <v>21</v>
      </c>
      <c r="AO146" s="31">
        <f>H146*0</f>
        <v>0</v>
      </c>
      <c r="AP146" s="31">
        <f>H146*(1-0)</f>
        <v>0</v>
      </c>
      <c r="AQ146" s="26" t="s">
        <v>7</v>
      </c>
      <c r="AV146" s="31">
        <f>AW146+AX146</f>
        <v>0</v>
      </c>
      <c r="AW146" s="31">
        <f>G146*AO146</f>
        <v>0</v>
      </c>
      <c r="AX146" s="31">
        <f>G146*AP146</f>
        <v>0</v>
      </c>
      <c r="AY146" s="32" t="s">
        <v>503</v>
      </c>
      <c r="AZ146" s="32" t="s">
        <v>532</v>
      </c>
      <c r="BA146" s="25" t="s">
        <v>541</v>
      </c>
      <c r="BC146" s="31">
        <f>AW146+AX146</f>
        <v>0</v>
      </c>
      <c r="BD146" s="31">
        <f>H146/(100-BE146)*100</f>
        <v>0</v>
      </c>
      <c r="BE146" s="31">
        <v>0</v>
      </c>
      <c r="BF146" s="31">
        <f>146</f>
        <v>146</v>
      </c>
      <c r="BH146" s="15">
        <f>G146*AO146</f>
        <v>0</v>
      </c>
      <c r="BI146" s="15">
        <f>G146*AP146</f>
        <v>0</v>
      </c>
      <c r="BJ146" s="15">
        <f>G146*H146</f>
        <v>0</v>
      </c>
    </row>
    <row r="147" spans="1:62" x14ac:dyDescent="0.2">
      <c r="A147" s="3"/>
      <c r="B147" s="11" t="s">
        <v>194</v>
      </c>
      <c r="C147" s="134" t="s">
        <v>335</v>
      </c>
      <c r="D147" s="135"/>
      <c r="E147" s="135"/>
      <c r="F147" s="3" t="s">
        <v>6</v>
      </c>
      <c r="G147" s="3" t="s">
        <v>6</v>
      </c>
      <c r="H147" s="3" t="s">
        <v>6</v>
      </c>
      <c r="I147" s="33">
        <f>SUM(I148:I158)</f>
        <v>0</v>
      </c>
      <c r="J147" s="33">
        <f>SUM(J148:J158)</f>
        <v>0</v>
      </c>
      <c r="K147" s="33">
        <f>SUM(K148:K158)</f>
        <v>0</v>
      </c>
      <c r="L147" s="25"/>
      <c r="AI147" s="25" t="s">
        <v>487</v>
      </c>
      <c r="AS147" s="33">
        <f>SUM(AJ148:AJ158)</f>
        <v>0</v>
      </c>
      <c r="AT147" s="33">
        <f>SUM(AK148:AK158)</f>
        <v>0</v>
      </c>
      <c r="AU147" s="33">
        <f>SUM(AL148:AL158)</f>
        <v>0</v>
      </c>
    </row>
    <row r="148" spans="1:62" x14ac:dyDescent="0.2">
      <c r="A148" s="4" t="s">
        <v>104</v>
      </c>
      <c r="B148" s="4" t="s">
        <v>195</v>
      </c>
      <c r="C148" s="136" t="s">
        <v>336</v>
      </c>
      <c r="D148" s="137"/>
      <c r="E148" s="137"/>
      <c r="F148" s="4" t="s">
        <v>458</v>
      </c>
      <c r="G148" s="65">
        <v>68.709999999999994</v>
      </c>
      <c r="H148" s="15">
        <v>0</v>
      </c>
      <c r="I148" s="15">
        <f t="shared" ref="I148:I158" si="90">G148*AO148</f>
        <v>0</v>
      </c>
      <c r="J148" s="15">
        <f t="shared" ref="J148:J158" si="91">G148*AP148</f>
        <v>0</v>
      </c>
      <c r="K148" s="15">
        <f t="shared" ref="K148:K158" si="92">G148*H148</f>
        <v>0</v>
      </c>
      <c r="L148" s="26" t="s">
        <v>476</v>
      </c>
      <c r="Z148" s="31">
        <f t="shared" ref="Z148:Z158" si="93">IF(AQ148="5",BJ148,0)</f>
        <v>0</v>
      </c>
      <c r="AB148" s="31">
        <f t="shared" ref="AB148:AB158" si="94">IF(AQ148="1",BH148,0)</f>
        <v>0</v>
      </c>
      <c r="AC148" s="31">
        <f t="shared" ref="AC148:AC158" si="95">IF(AQ148="1",BI148,0)</f>
        <v>0</v>
      </c>
      <c r="AD148" s="31">
        <f t="shared" ref="AD148:AD158" si="96">IF(AQ148="7",BH148,0)</f>
        <v>0</v>
      </c>
      <c r="AE148" s="31">
        <f t="shared" ref="AE148:AE158" si="97">IF(AQ148="7",BI148,0)</f>
        <v>0</v>
      </c>
      <c r="AF148" s="31">
        <f t="shared" ref="AF148:AF158" si="98">IF(AQ148="2",BH148,0)</f>
        <v>0</v>
      </c>
      <c r="AG148" s="31">
        <f t="shared" ref="AG148:AG158" si="99">IF(AQ148="2",BI148,0)</f>
        <v>0</v>
      </c>
      <c r="AH148" s="31">
        <f t="shared" ref="AH148:AH158" si="100">IF(AQ148="0",BJ148,0)</f>
        <v>0</v>
      </c>
      <c r="AI148" s="25" t="s">
        <v>487</v>
      </c>
      <c r="AJ148" s="15">
        <f t="shared" ref="AJ148:AJ158" si="101">IF(AN148=0,K148,0)</f>
        <v>0</v>
      </c>
      <c r="AK148" s="15">
        <f t="shared" ref="AK148:AK158" si="102">IF(AN148=15,K148,0)</f>
        <v>0</v>
      </c>
      <c r="AL148" s="15">
        <f t="shared" ref="AL148:AL158" si="103">IF(AN148=21,K148,0)</f>
        <v>0</v>
      </c>
      <c r="AN148" s="31">
        <v>21</v>
      </c>
      <c r="AO148" s="31">
        <f t="shared" ref="AO148:AO158" si="104">H148*0</f>
        <v>0</v>
      </c>
      <c r="AP148" s="31">
        <f t="shared" ref="AP148:AP158" si="105">H148*(1-0)</f>
        <v>0</v>
      </c>
      <c r="AQ148" s="26" t="s">
        <v>11</v>
      </c>
      <c r="AV148" s="31">
        <f t="shared" ref="AV148:AV158" si="106">AW148+AX148</f>
        <v>0</v>
      </c>
      <c r="AW148" s="31">
        <f t="shared" ref="AW148:AW158" si="107">G148*AO148</f>
        <v>0</v>
      </c>
      <c r="AX148" s="31">
        <f t="shared" ref="AX148:AX158" si="108">G148*AP148</f>
        <v>0</v>
      </c>
      <c r="AY148" s="32" t="s">
        <v>504</v>
      </c>
      <c r="AZ148" s="32" t="s">
        <v>532</v>
      </c>
      <c r="BA148" s="25" t="s">
        <v>541</v>
      </c>
      <c r="BC148" s="31">
        <f t="shared" ref="BC148:BC158" si="109">AW148+AX148</f>
        <v>0</v>
      </c>
      <c r="BD148" s="31">
        <f t="shared" ref="BD148:BD158" si="110">H148/(100-BE148)*100</f>
        <v>0</v>
      </c>
      <c r="BE148" s="31">
        <v>0</v>
      </c>
      <c r="BF148" s="31">
        <f>148</f>
        <v>148</v>
      </c>
      <c r="BH148" s="15">
        <f t="shared" ref="BH148:BH158" si="111">G148*AO148</f>
        <v>0</v>
      </c>
      <c r="BI148" s="15">
        <f t="shared" ref="BI148:BI158" si="112">G148*AP148</f>
        <v>0</v>
      </c>
      <c r="BJ148" s="15">
        <f t="shared" ref="BJ148:BJ158" si="113">G148*H148</f>
        <v>0</v>
      </c>
    </row>
    <row r="149" spans="1:62" x14ac:dyDescent="0.2">
      <c r="A149" s="4" t="s">
        <v>105</v>
      </c>
      <c r="B149" s="4" t="s">
        <v>196</v>
      </c>
      <c r="C149" s="136" t="s">
        <v>337</v>
      </c>
      <c r="D149" s="137"/>
      <c r="E149" s="137"/>
      <c r="F149" s="4" t="s">
        <v>458</v>
      </c>
      <c r="G149" s="65">
        <v>274.83999999999997</v>
      </c>
      <c r="H149" s="15">
        <v>0</v>
      </c>
      <c r="I149" s="15">
        <f t="shared" si="90"/>
        <v>0</v>
      </c>
      <c r="J149" s="15">
        <f t="shared" si="91"/>
        <v>0</v>
      </c>
      <c r="K149" s="15">
        <f t="shared" si="92"/>
        <v>0</v>
      </c>
      <c r="L149" s="26" t="s">
        <v>476</v>
      </c>
      <c r="Z149" s="31">
        <f t="shared" si="93"/>
        <v>0</v>
      </c>
      <c r="AB149" s="31">
        <f t="shared" si="94"/>
        <v>0</v>
      </c>
      <c r="AC149" s="31">
        <f t="shared" si="95"/>
        <v>0</v>
      </c>
      <c r="AD149" s="31">
        <f t="shared" si="96"/>
        <v>0</v>
      </c>
      <c r="AE149" s="31">
        <f t="shared" si="97"/>
        <v>0</v>
      </c>
      <c r="AF149" s="31">
        <f t="shared" si="98"/>
        <v>0</v>
      </c>
      <c r="AG149" s="31">
        <f t="shared" si="99"/>
        <v>0</v>
      </c>
      <c r="AH149" s="31">
        <f t="shared" si="100"/>
        <v>0</v>
      </c>
      <c r="AI149" s="25" t="s">
        <v>487</v>
      </c>
      <c r="AJ149" s="15">
        <f t="shared" si="101"/>
        <v>0</v>
      </c>
      <c r="AK149" s="15">
        <f t="shared" si="102"/>
        <v>0</v>
      </c>
      <c r="AL149" s="15">
        <f t="shared" si="103"/>
        <v>0</v>
      </c>
      <c r="AN149" s="31">
        <v>21</v>
      </c>
      <c r="AO149" s="31">
        <f t="shared" si="104"/>
        <v>0</v>
      </c>
      <c r="AP149" s="31">
        <f t="shared" si="105"/>
        <v>0</v>
      </c>
      <c r="AQ149" s="26" t="s">
        <v>11</v>
      </c>
      <c r="AV149" s="31">
        <f t="shared" si="106"/>
        <v>0</v>
      </c>
      <c r="AW149" s="31">
        <f t="shared" si="107"/>
        <v>0</v>
      </c>
      <c r="AX149" s="31">
        <f t="shared" si="108"/>
        <v>0</v>
      </c>
      <c r="AY149" s="32" t="s">
        <v>504</v>
      </c>
      <c r="AZ149" s="32" t="s">
        <v>532</v>
      </c>
      <c r="BA149" s="25" t="s">
        <v>541</v>
      </c>
      <c r="BC149" s="31">
        <f t="shared" si="109"/>
        <v>0</v>
      </c>
      <c r="BD149" s="31">
        <f t="shared" si="110"/>
        <v>0</v>
      </c>
      <c r="BE149" s="31">
        <v>0</v>
      </c>
      <c r="BF149" s="31">
        <f>149</f>
        <v>149</v>
      </c>
      <c r="BH149" s="15">
        <f t="shared" si="111"/>
        <v>0</v>
      </c>
      <c r="BI149" s="15">
        <f t="shared" si="112"/>
        <v>0</v>
      </c>
      <c r="BJ149" s="15">
        <f t="shared" si="113"/>
        <v>0</v>
      </c>
    </row>
    <row r="150" spans="1:62" x14ac:dyDescent="0.2">
      <c r="A150" s="4" t="s">
        <v>106</v>
      </c>
      <c r="B150" s="4" t="s">
        <v>197</v>
      </c>
      <c r="C150" s="136" t="s">
        <v>338</v>
      </c>
      <c r="D150" s="137"/>
      <c r="E150" s="137"/>
      <c r="F150" s="4" t="s">
        <v>458</v>
      </c>
      <c r="G150" s="65">
        <v>68.709999999999994</v>
      </c>
      <c r="H150" s="15">
        <v>0</v>
      </c>
      <c r="I150" s="15">
        <f t="shared" si="90"/>
        <v>0</v>
      </c>
      <c r="J150" s="15">
        <f t="shared" si="91"/>
        <v>0</v>
      </c>
      <c r="K150" s="15">
        <f t="shared" si="92"/>
        <v>0</v>
      </c>
      <c r="L150" s="26" t="s">
        <v>476</v>
      </c>
      <c r="Z150" s="31">
        <f t="shared" si="93"/>
        <v>0</v>
      </c>
      <c r="AB150" s="31">
        <f t="shared" si="94"/>
        <v>0</v>
      </c>
      <c r="AC150" s="31">
        <f t="shared" si="95"/>
        <v>0</v>
      </c>
      <c r="AD150" s="31">
        <f t="shared" si="96"/>
        <v>0</v>
      </c>
      <c r="AE150" s="31">
        <f t="shared" si="97"/>
        <v>0</v>
      </c>
      <c r="AF150" s="31">
        <f t="shared" si="98"/>
        <v>0</v>
      </c>
      <c r="AG150" s="31">
        <f t="shared" si="99"/>
        <v>0</v>
      </c>
      <c r="AH150" s="31">
        <f t="shared" si="100"/>
        <v>0</v>
      </c>
      <c r="AI150" s="25" t="s">
        <v>487</v>
      </c>
      <c r="AJ150" s="15">
        <f t="shared" si="101"/>
        <v>0</v>
      </c>
      <c r="AK150" s="15">
        <f t="shared" si="102"/>
        <v>0</v>
      </c>
      <c r="AL150" s="15">
        <f t="shared" si="103"/>
        <v>0</v>
      </c>
      <c r="AN150" s="31">
        <v>21</v>
      </c>
      <c r="AO150" s="31">
        <f t="shared" si="104"/>
        <v>0</v>
      </c>
      <c r="AP150" s="31">
        <f t="shared" si="105"/>
        <v>0</v>
      </c>
      <c r="AQ150" s="26" t="s">
        <v>11</v>
      </c>
      <c r="AV150" s="31">
        <f t="shared" si="106"/>
        <v>0</v>
      </c>
      <c r="AW150" s="31">
        <f t="shared" si="107"/>
        <v>0</v>
      </c>
      <c r="AX150" s="31">
        <f t="shared" si="108"/>
        <v>0</v>
      </c>
      <c r="AY150" s="32" t="s">
        <v>504</v>
      </c>
      <c r="AZ150" s="32" t="s">
        <v>532</v>
      </c>
      <c r="BA150" s="25" t="s">
        <v>541</v>
      </c>
      <c r="BC150" s="31">
        <f t="shared" si="109"/>
        <v>0</v>
      </c>
      <c r="BD150" s="31">
        <f t="shared" si="110"/>
        <v>0</v>
      </c>
      <c r="BE150" s="31">
        <v>0</v>
      </c>
      <c r="BF150" s="31">
        <f>150</f>
        <v>150</v>
      </c>
      <c r="BH150" s="15">
        <f t="shared" si="111"/>
        <v>0</v>
      </c>
      <c r="BI150" s="15">
        <f t="shared" si="112"/>
        <v>0</v>
      </c>
      <c r="BJ150" s="15">
        <f t="shared" si="113"/>
        <v>0</v>
      </c>
    </row>
    <row r="151" spans="1:62" x14ac:dyDescent="0.2">
      <c r="A151" s="4" t="s">
        <v>107</v>
      </c>
      <c r="B151" s="4" t="s">
        <v>198</v>
      </c>
      <c r="C151" s="136" t="s">
        <v>339</v>
      </c>
      <c r="D151" s="137"/>
      <c r="E151" s="137"/>
      <c r="F151" s="4" t="s">
        <v>458</v>
      </c>
      <c r="G151" s="65">
        <v>68.709999999999994</v>
      </c>
      <c r="H151" s="15">
        <v>0</v>
      </c>
      <c r="I151" s="15">
        <f t="shared" si="90"/>
        <v>0</v>
      </c>
      <c r="J151" s="15">
        <f t="shared" si="91"/>
        <v>0</v>
      </c>
      <c r="K151" s="15">
        <f t="shared" si="92"/>
        <v>0</v>
      </c>
      <c r="L151" s="26" t="s">
        <v>476</v>
      </c>
      <c r="Z151" s="31">
        <f t="shared" si="93"/>
        <v>0</v>
      </c>
      <c r="AB151" s="31">
        <f t="shared" si="94"/>
        <v>0</v>
      </c>
      <c r="AC151" s="31">
        <f t="shared" si="95"/>
        <v>0</v>
      </c>
      <c r="AD151" s="31">
        <f t="shared" si="96"/>
        <v>0</v>
      </c>
      <c r="AE151" s="31">
        <f t="shared" si="97"/>
        <v>0</v>
      </c>
      <c r="AF151" s="31">
        <f t="shared" si="98"/>
        <v>0</v>
      </c>
      <c r="AG151" s="31">
        <f t="shared" si="99"/>
        <v>0</v>
      </c>
      <c r="AH151" s="31">
        <f t="shared" si="100"/>
        <v>0</v>
      </c>
      <c r="AI151" s="25" t="s">
        <v>487</v>
      </c>
      <c r="AJ151" s="15">
        <f t="shared" si="101"/>
        <v>0</v>
      </c>
      <c r="AK151" s="15">
        <f t="shared" si="102"/>
        <v>0</v>
      </c>
      <c r="AL151" s="15">
        <f t="shared" si="103"/>
        <v>0</v>
      </c>
      <c r="AN151" s="31">
        <v>21</v>
      </c>
      <c r="AO151" s="31">
        <f t="shared" si="104"/>
        <v>0</v>
      </c>
      <c r="AP151" s="31">
        <f t="shared" si="105"/>
        <v>0</v>
      </c>
      <c r="AQ151" s="26" t="s">
        <v>11</v>
      </c>
      <c r="AV151" s="31">
        <f t="shared" si="106"/>
        <v>0</v>
      </c>
      <c r="AW151" s="31">
        <f t="shared" si="107"/>
        <v>0</v>
      </c>
      <c r="AX151" s="31">
        <f t="shared" si="108"/>
        <v>0</v>
      </c>
      <c r="AY151" s="32" t="s">
        <v>504</v>
      </c>
      <c r="AZ151" s="32" t="s">
        <v>532</v>
      </c>
      <c r="BA151" s="25" t="s">
        <v>541</v>
      </c>
      <c r="BC151" s="31">
        <f t="shared" si="109"/>
        <v>0</v>
      </c>
      <c r="BD151" s="31">
        <f t="shared" si="110"/>
        <v>0</v>
      </c>
      <c r="BE151" s="31">
        <v>0</v>
      </c>
      <c r="BF151" s="31">
        <f>151</f>
        <v>151</v>
      </c>
      <c r="BH151" s="15">
        <f t="shared" si="111"/>
        <v>0</v>
      </c>
      <c r="BI151" s="15">
        <f t="shared" si="112"/>
        <v>0</v>
      </c>
      <c r="BJ151" s="15">
        <f t="shared" si="113"/>
        <v>0</v>
      </c>
    </row>
    <row r="152" spans="1:62" x14ac:dyDescent="0.2">
      <c r="A152" s="4" t="s">
        <v>108</v>
      </c>
      <c r="B152" s="4" t="s">
        <v>199</v>
      </c>
      <c r="C152" s="136" t="s">
        <v>340</v>
      </c>
      <c r="D152" s="137"/>
      <c r="E152" s="137"/>
      <c r="F152" s="4" t="s">
        <v>458</v>
      </c>
      <c r="G152" s="65">
        <v>206.13</v>
      </c>
      <c r="H152" s="15">
        <v>0</v>
      </c>
      <c r="I152" s="15">
        <f t="shared" si="90"/>
        <v>0</v>
      </c>
      <c r="J152" s="15">
        <f t="shared" si="91"/>
        <v>0</v>
      </c>
      <c r="K152" s="15">
        <f t="shared" si="92"/>
        <v>0</v>
      </c>
      <c r="L152" s="26" t="s">
        <v>476</v>
      </c>
      <c r="Z152" s="31">
        <f t="shared" si="93"/>
        <v>0</v>
      </c>
      <c r="AB152" s="31">
        <f t="shared" si="94"/>
        <v>0</v>
      </c>
      <c r="AC152" s="31">
        <f t="shared" si="95"/>
        <v>0</v>
      </c>
      <c r="AD152" s="31">
        <f t="shared" si="96"/>
        <v>0</v>
      </c>
      <c r="AE152" s="31">
        <f t="shared" si="97"/>
        <v>0</v>
      </c>
      <c r="AF152" s="31">
        <f t="shared" si="98"/>
        <v>0</v>
      </c>
      <c r="AG152" s="31">
        <f t="shared" si="99"/>
        <v>0</v>
      </c>
      <c r="AH152" s="31">
        <f t="shared" si="100"/>
        <v>0</v>
      </c>
      <c r="AI152" s="25" t="s">
        <v>487</v>
      </c>
      <c r="AJ152" s="15">
        <f t="shared" si="101"/>
        <v>0</v>
      </c>
      <c r="AK152" s="15">
        <f t="shared" si="102"/>
        <v>0</v>
      </c>
      <c r="AL152" s="15">
        <f t="shared" si="103"/>
        <v>0</v>
      </c>
      <c r="AN152" s="31">
        <v>21</v>
      </c>
      <c r="AO152" s="31">
        <f t="shared" si="104"/>
        <v>0</v>
      </c>
      <c r="AP152" s="31">
        <f t="shared" si="105"/>
        <v>0</v>
      </c>
      <c r="AQ152" s="26" t="s">
        <v>11</v>
      </c>
      <c r="AV152" s="31">
        <f t="shared" si="106"/>
        <v>0</v>
      </c>
      <c r="AW152" s="31">
        <f t="shared" si="107"/>
        <v>0</v>
      </c>
      <c r="AX152" s="31">
        <f t="shared" si="108"/>
        <v>0</v>
      </c>
      <c r="AY152" s="32" t="s">
        <v>504</v>
      </c>
      <c r="AZ152" s="32" t="s">
        <v>532</v>
      </c>
      <c r="BA152" s="25" t="s">
        <v>541</v>
      </c>
      <c r="BC152" s="31">
        <f t="shared" si="109"/>
        <v>0</v>
      </c>
      <c r="BD152" s="31">
        <f t="shared" si="110"/>
        <v>0</v>
      </c>
      <c r="BE152" s="31">
        <v>0</v>
      </c>
      <c r="BF152" s="31">
        <f>152</f>
        <v>152</v>
      </c>
      <c r="BH152" s="15">
        <f t="shared" si="111"/>
        <v>0</v>
      </c>
      <c r="BI152" s="15">
        <f t="shared" si="112"/>
        <v>0</v>
      </c>
      <c r="BJ152" s="15">
        <f t="shared" si="113"/>
        <v>0</v>
      </c>
    </row>
    <row r="153" spans="1:62" x14ac:dyDescent="0.2">
      <c r="A153" s="4" t="s">
        <v>109</v>
      </c>
      <c r="B153" s="4" t="s">
        <v>200</v>
      </c>
      <c r="C153" s="136" t="s">
        <v>341</v>
      </c>
      <c r="D153" s="137"/>
      <c r="E153" s="137"/>
      <c r="F153" s="4" t="s">
        <v>458</v>
      </c>
      <c r="G153" s="65">
        <v>68.709999999999994</v>
      </c>
      <c r="H153" s="15">
        <v>0</v>
      </c>
      <c r="I153" s="15">
        <f t="shared" si="90"/>
        <v>0</v>
      </c>
      <c r="J153" s="15">
        <f t="shared" si="91"/>
        <v>0</v>
      </c>
      <c r="K153" s="15">
        <f t="shared" si="92"/>
        <v>0</v>
      </c>
      <c r="L153" s="26" t="s">
        <v>476</v>
      </c>
      <c r="Z153" s="31">
        <f t="shared" si="93"/>
        <v>0</v>
      </c>
      <c r="AB153" s="31">
        <f t="shared" si="94"/>
        <v>0</v>
      </c>
      <c r="AC153" s="31">
        <f t="shared" si="95"/>
        <v>0</v>
      </c>
      <c r="AD153" s="31">
        <f t="shared" si="96"/>
        <v>0</v>
      </c>
      <c r="AE153" s="31">
        <f t="shared" si="97"/>
        <v>0</v>
      </c>
      <c r="AF153" s="31">
        <f t="shared" si="98"/>
        <v>0</v>
      </c>
      <c r="AG153" s="31">
        <f t="shared" si="99"/>
        <v>0</v>
      </c>
      <c r="AH153" s="31">
        <f t="shared" si="100"/>
        <v>0</v>
      </c>
      <c r="AI153" s="25" t="s">
        <v>487</v>
      </c>
      <c r="AJ153" s="15">
        <f t="shared" si="101"/>
        <v>0</v>
      </c>
      <c r="AK153" s="15">
        <f t="shared" si="102"/>
        <v>0</v>
      </c>
      <c r="AL153" s="15">
        <f t="shared" si="103"/>
        <v>0</v>
      </c>
      <c r="AN153" s="31">
        <v>21</v>
      </c>
      <c r="AO153" s="31">
        <f t="shared" si="104"/>
        <v>0</v>
      </c>
      <c r="AP153" s="31">
        <f t="shared" si="105"/>
        <v>0</v>
      </c>
      <c r="AQ153" s="26" t="s">
        <v>11</v>
      </c>
      <c r="AV153" s="31">
        <f t="shared" si="106"/>
        <v>0</v>
      </c>
      <c r="AW153" s="31">
        <f t="shared" si="107"/>
        <v>0</v>
      </c>
      <c r="AX153" s="31">
        <f t="shared" si="108"/>
        <v>0</v>
      </c>
      <c r="AY153" s="32" t="s">
        <v>504</v>
      </c>
      <c r="AZ153" s="32" t="s">
        <v>532</v>
      </c>
      <c r="BA153" s="25" t="s">
        <v>541</v>
      </c>
      <c r="BC153" s="31">
        <f t="shared" si="109"/>
        <v>0</v>
      </c>
      <c r="BD153" s="31">
        <f t="shared" si="110"/>
        <v>0</v>
      </c>
      <c r="BE153" s="31">
        <v>0</v>
      </c>
      <c r="BF153" s="31">
        <f>153</f>
        <v>153</v>
      </c>
      <c r="BH153" s="15">
        <f t="shared" si="111"/>
        <v>0</v>
      </c>
      <c r="BI153" s="15">
        <f t="shared" si="112"/>
        <v>0</v>
      </c>
      <c r="BJ153" s="15">
        <f t="shared" si="113"/>
        <v>0</v>
      </c>
    </row>
    <row r="154" spans="1:62" x14ac:dyDescent="0.2">
      <c r="A154" s="4" t="s">
        <v>110</v>
      </c>
      <c r="B154" s="4" t="s">
        <v>201</v>
      </c>
      <c r="C154" s="136" t="s">
        <v>408</v>
      </c>
      <c r="D154" s="137"/>
      <c r="E154" s="137"/>
      <c r="F154" s="4" t="s">
        <v>458</v>
      </c>
      <c r="G154" s="65">
        <v>27.27</v>
      </c>
      <c r="H154" s="15">
        <v>0</v>
      </c>
      <c r="I154" s="15">
        <f t="shared" si="90"/>
        <v>0</v>
      </c>
      <c r="J154" s="15">
        <f t="shared" si="91"/>
        <v>0</v>
      </c>
      <c r="K154" s="15">
        <f t="shared" si="92"/>
        <v>0</v>
      </c>
      <c r="L154" s="26" t="s">
        <v>476</v>
      </c>
      <c r="Z154" s="31">
        <f t="shared" si="93"/>
        <v>0</v>
      </c>
      <c r="AB154" s="31">
        <f t="shared" si="94"/>
        <v>0</v>
      </c>
      <c r="AC154" s="31">
        <f t="shared" si="95"/>
        <v>0</v>
      </c>
      <c r="AD154" s="31">
        <f t="shared" si="96"/>
        <v>0</v>
      </c>
      <c r="AE154" s="31">
        <f t="shared" si="97"/>
        <v>0</v>
      </c>
      <c r="AF154" s="31">
        <f t="shared" si="98"/>
        <v>0</v>
      </c>
      <c r="AG154" s="31">
        <f t="shared" si="99"/>
        <v>0</v>
      </c>
      <c r="AH154" s="31">
        <f t="shared" si="100"/>
        <v>0</v>
      </c>
      <c r="AI154" s="25" t="s">
        <v>487</v>
      </c>
      <c r="AJ154" s="15">
        <f t="shared" si="101"/>
        <v>0</v>
      </c>
      <c r="AK154" s="15">
        <f t="shared" si="102"/>
        <v>0</v>
      </c>
      <c r="AL154" s="15">
        <f t="shared" si="103"/>
        <v>0</v>
      </c>
      <c r="AN154" s="31">
        <v>21</v>
      </c>
      <c r="AO154" s="31">
        <f t="shared" si="104"/>
        <v>0</v>
      </c>
      <c r="AP154" s="31">
        <f t="shared" si="105"/>
        <v>0</v>
      </c>
      <c r="AQ154" s="26" t="s">
        <v>11</v>
      </c>
      <c r="AV154" s="31">
        <f t="shared" si="106"/>
        <v>0</v>
      </c>
      <c r="AW154" s="31">
        <f t="shared" si="107"/>
        <v>0</v>
      </c>
      <c r="AX154" s="31">
        <f t="shared" si="108"/>
        <v>0</v>
      </c>
      <c r="AY154" s="32" t="s">
        <v>504</v>
      </c>
      <c r="AZ154" s="32" t="s">
        <v>532</v>
      </c>
      <c r="BA154" s="25" t="s">
        <v>541</v>
      </c>
      <c r="BC154" s="31">
        <f t="shared" si="109"/>
        <v>0</v>
      </c>
      <c r="BD154" s="31">
        <f t="shared" si="110"/>
        <v>0</v>
      </c>
      <c r="BE154" s="31">
        <v>0</v>
      </c>
      <c r="BF154" s="31">
        <f>154</f>
        <v>154</v>
      </c>
      <c r="BH154" s="15">
        <f t="shared" si="111"/>
        <v>0</v>
      </c>
      <c r="BI154" s="15">
        <f t="shared" si="112"/>
        <v>0</v>
      </c>
      <c r="BJ154" s="15">
        <f t="shared" si="113"/>
        <v>0</v>
      </c>
    </row>
    <row r="155" spans="1:62" x14ac:dyDescent="0.2">
      <c r="A155" s="4" t="s">
        <v>111</v>
      </c>
      <c r="B155" s="4" t="s">
        <v>254</v>
      </c>
      <c r="C155" s="136" t="s">
        <v>409</v>
      </c>
      <c r="D155" s="137"/>
      <c r="E155" s="137"/>
      <c r="F155" s="4" t="s">
        <v>458</v>
      </c>
      <c r="G155" s="65">
        <v>33.003999999999998</v>
      </c>
      <c r="H155" s="15">
        <v>0</v>
      </c>
      <c r="I155" s="15">
        <f t="shared" si="90"/>
        <v>0</v>
      </c>
      <c r="J155" s="15">
        <f t="shared" si="91"/>
        <v>0</v>
      </c>
      <c r="K155" s="15">
        <f t="shared" si="92"/>
        <v>0</v>
      </c>
      <c r="L155" s="26" t="s">
        <v>476</v>
      </c>
      <c r="Z155" s="31">
        <f t="shared" si="93"/>
        <v>0</v>
      </c>
      <c r="AB155" s="31">
        <f t="shared" si="94"/>
        <v>0</v>
      </c>
      <c r="AC155" s="31">
        <f t="shared" si="95"/>
        <v>0</v>
      </c>
      <c r="AD155" s="31">
        <f t="shared" si="96"/>
        <v>0</v>
      </c>
      <c r="AE155" s="31">
        <f t="shared" si="97"/>
        <v>0</v>
      </c>
      <c r="AF155" s="31">
        <f t="shared" si="98"/>
        <v>0</v>
      </c>
      <c r="AG155" s="31">
        <f t="shared" si="99"/>
        <v>0</v>
      </c>
      <c r="AH155" s="31">
        <f t="shared" si="100"/>
        <v>0</v>
      </c>
      <c r="AI155" s="25" t="s">
        <v>487</v>
      </c>
      <c r="AJ155" s="15">
        <f t="shared" si="101"/>
        <v>0</v>
      </c>
      <c r="AK155" s="15">
        <f t="shared" si="102"/>
        <v>0</v>
      </c>
      <c r="AL155" s="15">
        <f t="shared" si="103"/>
        <v>0</v>
      </c>
      <c r="AN155" s="31">
        <v>21</v>
      </c>
      <c r="AO155" s="31">
        <f t="shared" si="104"/>
        <v>0</v>
      </c>
      <c r="AP155" s="31">
        <f t="shared" si="105"/>
        <v>0</v>
      </c>
      <c r="AQ155" s="26" t="s">
        <v>11</v>
      </c>
      <c r="AV155" s="31">
        <f t="shared" si="106"/>
        <v>0</v>
      </c>
      <c r="AW155" s="31">
        <f t="shared" si="107"/>
        <v>0</v>
      </c>
      <c r="AX155" s="31">
        <f t="shared" si="108"/>
        <v>0</v>
      </c>
      <c r="AY155" s="32" t="s">
        <v>504</v>
      </c>
      <c r="AZ155" s="32" t="s">
        <v>532</v>
      </c>
      <c r="BA155" s="25" t="s">
        <v>541</v>
      </c>
      <c r="BC155" s="31">
        <f t="shared" si="109"/>
        <v>0</v>
      </c>
      <c r="BD155" s="31">
        <f t="shared" si="110"/>
        <v>0</v>
      </c>
      <c r="BE155" s="31">
        <v>0</v>
      </c>
      <c r="BF155" s="31">
        <f>155</f>
        <v>155</v>
      </c>
      <c r="BH155" s="15">
        <f t="shared" si="111"/>
        <v>0</v>
      </c>
      <c r="BI155" s="15">
        <f t="shared" si="112"/>
        <v>0</v>
      </c>
      <c r="BJ155" s="15">
        <f t="shared" si="113"/>
        <v>0</v>
      </c>
    </row>
    <row r="156" spans="1:62" x14ac:dyDescent="0.2">
      <c r="A156" s="4" t="s">
        <v>112</v>
      </c>
      <c r="B156" s="4" t="s">
        <v>255</v>
      </c>
      <c r="C156" s="136" t="s">
        <v>410</v>
      </c>
      <c r="D156" s="137"/>
      <c r="E156" s="137"/>
      <c r="F156" s="4" t="s">
        <v>458</v>
      </c>
      <c r="G156" s="65">
        <v>1.528</v>
      </c>
      <c r="H156" s="15">
        <v>0</v>
      </c>
      <c r="I156" s="15">
        <f t="shared" si="90"/>
        <v>0</v>
      </c>
      <c r="J156" s="15">
        <f t="shared" si="91"/>
        <v>0</v>
      </c>
      <c r="K156" s="15">
        <f t="shared" si="92"/>
        <v>0</v>
      </c>
      <c r="L156" s="26" t="s">
        <v>476</v>
      </c>
      <c r="Z156" s="31">
        <f t="shared" si="93"/>
        <v>0</v>
      </c>
      <c r="AB156" s="31">
        <f t="shared" si="94"/>
        <v>0</v>
      </c>
      <c r="AC156" s="31">
        <f t="shared" si="95"/>
        <v>0</v>
      </c>
      <c r="AD156" s="31">
        <f t="shared" si="96"/>
        <v>0</v>
      </c>
      <c r="AE156" s="31">
        <f t="shared" si="97"/>
        <v>0</v>
      </c>
      <c r="AF156" s="31">
        <f t="shared" si="98"/>
        <v>0</v>
      </c>
      <c r="AG156" s="31">
        <f t="shared" si="99"/>
        <v>0</v>
      </c>
      <c r="AH156" s="31">
        <f t="shared" si="100"/>
        <v>0</v>
      </c>
      <c r="AI156" s="25" t="s">
        <v>487</v>
      </c>
      <c r="AJ156" s="15">
        <f t="shared" si="101"/>
        <v>0</v>
      </c>
      <c r="AK156" s="15">
        <f t="shared" si="102"/>
        <v>0</v>
      </c>
      <c r="AL156" s="15">
        <f t="shared" si="103"/>
        <v>0</v>
      </c>
      <c r="AN156" s="31">
        <v>21</v>
      </c>
      <c r="AO156" s="31">
        <f t="shared" si="104"/>
        <v>0</v>
      </c>
      <c r="AP156" s="31">
        <f t="shared" si="105"/>
        <v>0</v>
      </c>
      <c r="AQ156" s="26" t="s">
        <v>11</v>
      </c>
      <c r="AV156" s="31">
        <f t="shared" si="106"/>
        <v>0</v>
      </c>
      <c r="AW156" s="31">
        <f t="shared" si="107"/>
        <v>0</v>
      </c>
      <c r="AX156" s="31">
        <f t="shared" si="108"/>
        <v>0</v>
      </c>
      <c r="AY156" s="32" t="s">
        <v>504</v>
      </c>
      <c r="AZ156" s="32" t="s">
        <v>532</v>
      </c>
      <c r="BA156" s="25" t="s">
        <v>541</v>
      </c>
      <c r="BC156" s="31">
        <f t="shared" si="109"/>
        <v>0</v>
      </c>
      <c r="BD156" s="31">
        <f t="shared" si="110"/>
        <v>0</v>
      </c>
      <c r="BE156" s="31">
        <v>0</v>
      </c>
      <c r="BF156" s="31">
        <f>156</f>
        <v>156</v>
      </c>
      <c r="BH156" s="15">
        <f t="shared" si="111"/>
        <v>0</v>
      </c>
      <c r="BI156" s="15">
        <f t="shared" si="112"/>
        <v>0</v>
      </c>
      <c r="BJ156" s="15">
        <f t="shared" si="113"/>
        <v>0</v>
      </c>
    </row>
    <row r="157" spans="1:62" x14ac:dyDescent="0.2">
      <c r="A157" s="4" t="s">
        <v>113</v>
      </c>
      <c r="B157" s="4" t="s">
        <v>256</v>
      </c>
      <c r="C157" s="136" t="s">
        <v>411</v>
      </c>
      <c r="D157" s="137"/>
      <c r="E157" s="137"/>
      <c r="F157" s="4" t="s">
        <v>458</v>
      </c>
      <c r="G157" s="65">
        <v>3.133</v>
      </c>
      <c r="H157" s="15">
        <v>0</v>
      </c>
      <c r="I157" s="15">
        <f t="shared" si="90"/>
        <v>0</v>
      </c>
      <c r="J157" s="15">
        <f t="shared" si="91"/>
        <v>0</v>
      </c>
      <c r="K157" s="15">
        <f t="shared" si="92"/>
        <v>0</v>
      </c>
      <c r="L157" s="26" t="s">
        <v>476</v>
      </c>
      <c r="Z157" s="31">
        <f t="shared" si="93"/>
        <v>0</v>
      </c>
      <c r="AB157" s="31">
        <f t="shared" si="94"/>
        <v>0</v>
      </c>
      <c r="AC157" s="31">
        <f t="shared" si="95"/>
        <v>0</v>
      </c>
      <c r="AD157" s="31">
        <f t="shared" si="96"/>
        <v>0</v>
      </c>
      <c r="AE157" s="31">
        <f t="shared" si="97"/>
        <v>0</v>
      </c>
      <c r="AF157" s="31">
        <f t="shared" si="98"/>
        <v>0</v>
      </c>
      <c r="AG157" s="31">
        <f t="shared" si="99"/>
        <v>0</v>
      </c>
      <c r="AH157" s="31">
        <f t="shared" si="100"/>
        <v>0</v>
      </c>
      <c r="AI157" s="25" t="s">
        <v>487</v>
      </c>
      <c r="AJ157" s="15">
        <f t="shared" si="101"/>
        <v>0</v>
      </c>
      <c r="AK157" s="15">
        <f t="shared" si="102"/>
        <v>0</v>
      </c>
      <c r="AL157" s="15">
        <f t="shared" si="103"/>
        <v>0</v>
      </c>
      <c r="AN157" s="31">
        <v>21</v>
      </c>
      <c r="AO157" s="31">
        <f t="shared" si="104"/>
        <v>0</v>
      </c>
      <c r="AP157" s="31">
        <f t="shared" si="105"/>
        <v>0</v>
      </c>
      <c r="AQ157" s="26" t="s">
        <v>11</v>
      </c>
      <c r="AV157" s="31">
        <f t="shared" si="106"/>
        <v>0</v>
      </c>
      <c r="AW157" s="31">
        <f t="shared" si="107"/>
        <v>0</v>
      </c>
      <c r="AX157" s="31">
        <f t="shared" si="108"/>
        <v>0</v>
      </c>
      <c r="AY157" s="32" t="s">
        <v>504</v>
      </c>
      <c r="AZ157" s="32" t="s">
        <v>532</v>
      </c>
      <c r="BA157" s="25" t="s">
        <v>541</v>
      </c>
      <c r="BC157" s="31">
        <f t="shared" si="109"/>
        <v>0</v>
      </c>
      <c r="BD157" s="31">
        <f t="shared" si="110"/>
        <v>0</v>
      </c>
      <c r="BE157" s="31">
        <v>0</v>
      </c>
      <c r="BF157" s="31">
        <f>157</f>
        <v>157</v>
      </c>
      <c r="BH157" s="15">
        <f t="shared" si="111"/>
        <v>0</v>
      </c>
      <c r="BI157" s="15">
        <f t="shared" si="112"/>
        <v>0</v>
      </c>
      <c r="BJ157" s="15">
        <f t="shared" si="113"/>
        <v>0</v>
      </c>
    </row>
    <row r="158" spans="1:62" x14ac:dyDescent="0.2">
      <c r="A158" s="4" t="s">
        <v>114</v>
      </c>
      <c r="B158" s="4" t="s">
        <v>257</v>
      </c>
      <c r="C158" s="136" t="s">
        <v>412</v>
      </c>
      <c r="D158" s="137"/>
      <c r="E158" s="137"/>
      <c r="F158" s="4" t="s">
        <v>458</v>
      </c>
      <c r="G158" s="65">
        <v>3.7749999999999999</v>
      </c>
      <c r="H158" s="15">
        <v>0</v>
      </c>
      <c r="I158" s="15">
        <f t="shared" si="90"/>
        <v>0</v>
      </c>
      <c r="J158" s="15">
        <f t="shared" si="91"/>
        <v>0</v>
      </c>
      <c r="K158" s="15">
        <f t="shared" si="92"/>
        <v>0</v>
      </c>
      <c r="L158" s="26" t="s">
        <v>476</v>
      </c>
      <c r="Z158" s="31">
        <f t="shared" si="93"/>
        <v>0</v>
      </c>
      <c r="AB158" s="31">
        <f t="shared" si="94"/>
        <v>0</v>
      </c>
      <c r="AC158" s="31">
        <f t="shared" si="95"/>
        <v>0</v>
      </c>
      <c r="AD158" s="31">
        <f t="shared" si="96"/>
        <v>0</v>
      </c>
      <c r="AE158" s="31">
        <f t="shared" si="97"/>
        <v>0</v>
      </c>
      <c r="AF158" s="31">
        <f t="shared" si="98"/>
        <v>0</v>
      </c>
      <c r="AG158" s="31">
        <f t="shared" si="99"/>
        <v>0</v>
      </c>
      <c r="AH158" s="31">
        <f t="shared" si="100"/>
        <v>0</v>
      </c>
      <c r="AI158" s="25" t="s">
        <v>487</v>
      </c>
      <c r="AJ158" s="15">
        <f t="shared" si="101"/>
        <v>0</v>
      </c>
      <c r="AK158" s="15">
        <f t="shared" si="102"/>
        <v>0</v>
      </c>
      <c r="AL158" s="15">
        <f t="shared" si="103"/>
        <v>0</v>
      </c>
      <c r="AN158" s="31">
        <v>21</v>
      </c>
      <c r="AO158" s="31">
        <f t="shared" si="104"/>
        <v>0</v>
      </c>
      <c r="AP158" s="31">
        <f t="shared" si="105"/>
        <v>0</v>
      </c>
      <c r="AQ158" s="26" t="s">
        <v>11</v>
      </c>
      <c r="AV158" s="31">
        <f t="shared" si="106"/>
        <v>0</v>
      </c>
      <c r="AW158" s="31">
        <f t="shared" si="107"/>
        <v>0</v>
      </c>
      <c r="AX158" s="31">
        <f t="shared" si="108"/>
        <v>0</v>
      </c>
      <c r="AY158" s="32" t="s">
        <v>504</v>
      </c>
      <c r="AZ158" s="32" t="s">
        <v>532</v>
      </c>
      <c r="BA158" s="25" t="s">
        <v>541</v>
      </c>
      <c r="BC158" s="31">
        <f t="shared" si="109"/>
        <v>0</v>
      </c>
      <c r="BD158" s="31">
        <f t="shared" si="110"/>
        <v>0</v>
      </c>
      <c r="BE158" s="31">
        <v>0</v>
      </c>
      <c r="BF158" s="31">
        <f>158</f>
        <v>158</v>
      </c>
      <c r="BH158" s="15">
        <f t="shared" si="111"/>
        <v>0</v>
      </c>
      <c r="BI158" s="15">
        <f t="shared" si="112"/>
        <v>0</v>
      </c>
      <c r="BJ158" s="15">
        <f t="shared" si="113"/>
        <v>0</v>
      </c>
    </row>
    <row r="159" spans="1:62" x14ac:dyDescent="0.2">
      <c r="A159" s="3"/>
      <c r="B159" s="11" t="s">
        <v>202</v>
      </c>
      <c r="C159" s="134" t="s">
        <v>343</v>
      </c>
      <c r="D159" s="135"/>
      <c r="E159" s="135"/>
      <c r="F159" s="3" t="s">
        <v>6</v>
      </c>
      <c r="G159" s="3" t="s">
        <v>6</v>
      </c>
      <c r="H159" s="3" t="s">
        <v>6</v>
      </c>
      <c r="I159" s="33">
        <f>SUM(I160:I160)</f>
        <v>0</v>
      </c>
      <c r="J159" s="33">
        <f>SUM(J160:J160)</f>
        <v>0</v>
      </c>
      <c r="K159" s="33">
        <f>SUM(K160:K160)</f>
        <v>0</v>
      </c>
      <c r="L159" s="25"/>
      <c r="AI159" s="25" t="s">
        <v>487</v>
      </c>
      <c r="AS159" s="33">
        <f>SUM(AJ160:AJ160)</f>
        <v>0</v>
      </c>
      <c r="AT159" s="33">
        <f>SUM(AK160:AK160)</f>
        <v>0</v>
      </c>
      <c r="AU159" s="33">
        <f>SUM(AL160:AL160)</f>
        <v>0</v>
      </c>
    </row>
    <row r="160" spans="1:62" x14ac:dyDescent="0.2">
      <c r="A160" s="4" t="s">
        <v>115</v>
      </c>
      <c r="B160" s="4" t="s">
        <v>203</v>
      </c>
      <c r="C160" s="136" t="s">
        <v>344</v>
      </c>
      <c r="D160" s="137"/>
      <c r="E160" s="137"/>
      <c r="F160" s="4" t="s">
        <v>458</v>
      </c>
      <c r="G160" s="65">
        <v>70.009</v>
      </c>
      <c r="H160" s="15">
        <v>0</v>
      </c>
      <c r="I160" s="15">
        <f>G160*AO160</f>
        <v>0</v>
      </c>
      <c r="J160" s="15">
        <f>G160*AP160</f>
        <v>0</v>
      </c>
      <c r="K160" s="15">
        <f>G160*H160</f>
        <v>0</v>
      </c>
      <c r="L160" s="26" t="s">
        <v>476</v>
      </c>
      <c r="Z160" s="31">
        <f>IF(AQ160="5",BJ160,0)</f>
        <v>0</v>
      </c>
      <c r="AB160" s="31">
        <f>IF(AQ160="1",BH160,0)</f>
        <v>0</v>
      </c>
      <c r="AC160" s="31">
        <f>IF(AQ160="1",BI160,0)</f>
        <v>0</v>
      </c>
      <c r="AD160" s="31">
        <f>IF(AQ160="7",BH160,0)</f>
        <v>0</v>
      </c>
      <c r="AE160" s="31">
        <f>IF(AQ160="7",BI160,0)</f>
        <v>0</v>
      </c>
      <c r="AF160" s="31">
        <f>IF(AQ160="2",BH160,0)</f>
        <v>0</v>
      </c>
      <c r="AG160" s="31">
        <f>IF(AQ160="2",BI160,0)</f>
        <v>0</v>
      </c>
      <c r="AH160" s="31">
        <f>IF(AQ160="0",BJ160,0)</f>
        <v>0</v>
      </c>
      <c r="AI160" s="25" t="s">
        <v>487</v>
      </c>
      <c r="AJ160" s="15">
        <f>IF(AN160=0,K160,0)</f>
        <v>0</v>
      </c>
      <c r="AK160" s="15">
        <f>IF(AN160=15,K160,0)</f>
        <v>0</v>
      </c>
      <c r="AL160" s="15">
        <f>IF(AN160=21,K160,0)</f>
        <v>0</v>
      </c>
      <c r="AN160" s="31">
        <v>21</v>
      </c>
      <c r="AO160" s="31">
        <f>H160*0</f>
        <v>0</v>
      </c>
      <c r="AP160" s="31">
        <f>H160*(1-0)</f>
        <v>0</v>
      </c>
      <c r="AQ160" s="26" t="s">
        <v>11</v>
      </c>
      <c r="AV160" s="31">
        <f>AW160+AX160</f>
        <v>0</v>
      </c>
      <c r="AW160" s="31">
        <f>G160*AO160</f>
        <v>0</v>
      </c>
      <c r="AX160" s="31">
        <f>G160*AP160</f>
        <v>0</v>
      </c>
      <c r="AY160" s="32" t="s">
        <v>505</v>
      </c>
      <c r="AZ160" s="32" t="s">
        <v>532</v>
      </c>
      <c r="BA160" s="25" t="s">
        <v>541</v>
      </c>
      <c r="BC160" s="31">
        <f>AW160+AX160</f>
        <v>0</v>
      </c>
      <c r="BD160" s="31">
        <f>H160/(100-BE160)*100</f>
        <v>0</v>
      </c>
      <c r="BE160" s="31">
        <v>0</v>
      </c>
      <c r="BF160" s="31">
        <f>160</f>
        <v>160</v>
      </c>
      <c r="BH160" s="15">
        <f>G160*AO160</f>
        <v>0</v>
      </c>
      <c r="BI160" s="15">
        <f>G160*AP160</f>
        <v>0</v>
      </c>
      <c r="BJ160" s="15">
        <f>G160*H160</f>
        <v>0</v>
      </c>
    </row>
    <row r="161" spans="1:62" x14ac:dyDescent="0.2">
      <c r="A161" s="3"/>
      <c r="B161" s="11" t="s">
        <v>208</v>
      </c>
      <c r="C161" s="134" t="s">
        <v>349</v>
      </c>
      <c r="D161" s="135"/>
      <c r="E161" s="135"/>
      <c r="F161" s="3" t="s">
        <v>6</v>
      </c>
      <c r="G161" s="3" t="s">
        <v>6</v>
      </c>
      <c r="H161" s="3" t="s">
        <v>6</v>
      </c>
      <c r="I161" s="33">
        <f>SUM(I162:I164)</f>
        <v>0</v>
      </c>
      <c r="J161" s="33">
        <f>SUM(J162:J164)</f>
        <v>0</v>
      </c>
      <c r="K161" s="33">
        <f>SUM(K162:K164)</f>
        <v>0</v>
      </c>
      <c r="L161" s="25"/>
      <c r="AI161" s="25" t="s">
        <v>487</v>
      </c>
      <c r="AS161" s="33">
        <f>SUM(AJ162:AJ164)</f>
        <v>0</v>
      </c>
      <c r="AT161" s="33">
        <f>SUM(AK162:AK164)</f>
        <v>0</v>
      </c>
      <c r="AU161" s="33">
        <f>SUM(AL162:AL164)</f>
        <v>0</v>
      </c>
    </row>
    <row r="162" spans="1:62" x14ac:dyDescent="0.2">
      <c r="A162" s="4" t="s">
        <v>116</v>
      </c>
      <c r="B162" s="4" t="s">
        <v>209</v>
      </c>
      <c r="C162" s="136" t="s">
        <v>413</v>
      </c>
      <c r="D162" s="137"/>
      <c r="E162" s="137"/>
      <c r="F162" s="4" t="s">
        <v>460</v>
      </c>
      <c r="G162" s="65">
        <v>36.825000000000003</v>
      </c>
      <c r="H162" s="15">
        <v>0</v>
      </c>
      <c r="I162" s="15">
        <f>G162*AO162</f>
        <v>0</v>
      </c>
      <c r="J162" s="15">
        <f>G162*AP162</f>
        <v>0</v>
      </c>
      <c r="K162" s="15">
        <f>G162*H162</f>
        <v>0</v>
      </c>
      <c r="L162" s="26" t="s">
        <v>476</v>
      </c>
      <c r="Z162" s="31">
        <f>IF(AQ162="5",BJ162,0)</f>
        <v>0</v>
      </c>
      <c r="AB162" s="31">
        <f>IF(AQ162="1",BH162,0)</f>
        <v>0</v>
      </c>
      <c r="AC162" s="31">
        <f>IF(AQ162="1",BI162,0)</f>
        <v>0</v>
      </c>
      <c r="AD162" s="31">
        <f>IF(AQ162="7",BH162,0)</f>
        <v>0</v>
      </c>
      <c r="AE162" s="31">
        <f>IF(AQ162="7",BI162,0)</f>
        <v>0</v>
      </c>
      <c r="AF162" s="31">
        <f>IF(AQ162="2",BH162,0)</f>
        <v>0</v>
      </c>
      <c r="AG162" s="31">
        <f>IF(AQ162="2",BI162,0)</f>
        <v>0</v>
      </c>
      <c r="AH162" s="31">
        <f>IF(AQ162="0",BJ162,0)</f>
        <v>0</v>
      </c>
      <c r="AI162" s="25" t="s">
        <v>487</v>
      </c>
      <c r="AJ162" s="15">
        <f>IF(AN162=0,K162,0)</f>
        <v>0</v>
      </c>
      <c r="AK162" s="15">
        <f>IF(AN162=15,K162,0)</f>
        <v>0</v>
      </c>
      <c r="AL162" s="15">
        <f>IF(AN162=21,K162,0)</f>
        <v>0</v>
      </c>
      <c r="AN162" s="31">
        <v>21</v>
      </c>
      <c r="AO162" s="31">
        <f>H162*0.434770898186808</f>
        <v>0</v>
      </c>
      <c r="AP162" s="31">
        <f>H162*(1-0.434770898186808)</f>
        <v>0</v>
      </c>
      <c r="AQ162" s="26" t="s">
        <v>13</v>
      </c>
      <c r="AV162" s="31">
        <f>AW162+AX162</f>
        <v>0</v>
      </c>
      <c r="AW162" s="31">
        <f>G162*AO162</f>
        <v>0</v>
      </c>
      <c r="AX162" s="31">
        <f>G162*AP162</f>
        <v>0</v>
      </c>
      <c r="AY162" s="32" t="s">
        <v>507</v>
      </c>
      <c r="AZ162" s="32" t="s">
        <v>533</v>
      </c>
      <c r="BA162" s="25" t="s">
        <v>541</v>
      </c>
      <c r="BC162" s="31">
        <f>AW162+AX162</f>
        <v>0</v>
      </c>
      <c r="BD162" s="31">
        <f>H162/(100-BE162)*100</f>
        <v>0</v>
      </c>
      <c r="BE162" s="31">
        <v>0</v>
      </c>
      <c r="BF162" s="31">
        <f>162</f>
        <v>162</v>
      </c>
      <c r="BH162" s="15">
        <f>G162*AO162</f>
        <v>0</v>
      </c>
      <c r="BI162" s="15">
        <f>G162*AP162</f>
        <v>0</v>
      </c>
      <c r="BJ162" s="15">
        <f>G162*H162</f>
        <v>0</v>
      </c>
    </row>
    <row r="163" spans="1:62" x14ac:dyDescent="0.2">
      <c r="A163" s="5" t="s">
        <v>117</v>
      </c>
      <c r="B163" s="5" t="s">
        <v>210</v>
      </c>
      <c r="C163" s="151" t="s">
        <v>414</v>
      </c>
      <c r="D163" s="152"/>
      <c r="E163" s="152"/>
      <c r="F163" s="5" t="s">
        <v>458</v>
      </c>
      <c r="G163" s="68">
        <v>0.10299999999999999</v>
      </c>
      <c r="H163" s="16">
        <v>0</v>
      </c>
      <c r="I163" s="16">
        <f>G163*AO163</f>
        <v>0</v>
      </c>
      <c r="J163" s="16">
        <f>G163*AP163</f>
        <v>0</v>
      </c>
      <c r="K163" s="16">
        <f>G163*H163</f>
        <v>0</v>
      </c>
      <c r="L163" s="27" t="s">
        <v>476</v>
      </c>
      <c r="Z163" s="31">
        <f>IF(AQ163="5",BJ163,0)</f>
        <v>0</v>
      </c>
      <c r="AB163" s="31">
        <f>IF(AQ163="1",BH163,0)</f>
        <v>0</v>
      </c>
      <c r="AC163" s="31">
        <f>IF(AQ163="1",BI163,0)</f>
        <v>0</v>
      </c>
      <c r="AD163" s="31">
        <f>IF(AQ163="7",BH163,0)</f>
        <v>0</v>
      </c>
      <c r="AE163" s="31">
        <f>IF(AQ163="7",BI163,0)</f>
        <v>0</v>
      </c>
      <c r="AF163" s="31">
        <f>IF(AQ163="2",BH163,0)</f>
        <v>0</v>
      </c>
      <c r="AG163" s="31">
        <f>IF(AQ163="2",BI163,0)</f>
        <v>0</v>
      </c>
      <c r="AH163" s="31">
        <f>IF(AQ163="0",BJ163,0)</f>
        <v>0</v>
      </c>
      <c r="AI163" s="25" t="s">
        <v>487</v>
      </c>
      <c r="AJ163" s="16">
        <f>IF(AN163=0,K163,0)</f>
        <v>0</v>
      </c>
      <c r="AK163" s="16">
        <f>IF(AN163=15,K163,0)</f>
        <v>0</v>
      </c>
      <c r="AL163" s="16">
        <f>IF(AN163=21,K163,0)</f>
        <v>0</v>
      </c>
      <c r="AN163" s="31">
        <v>21</v>
      </c>
      <c r="AO163" s="31">
        <f>H163*1</f>
        <v>0</v>
      </c>
      <c r="AP163" s="31">
        <f>H163*(1-1)</f>
        <v>0</v>
      </c>
      <c r="AQ163" s="27" t="s">
        <v>13</v>
      </c>
      <c r="AV163" s="31">
        <f>AW163+AX163</f>
        <v>0</v>
      </c>
      <c r="AW163" s="31">
        <f>G163*AO163</f>
        <v>0</v>
      </c>
      <c r="AX163" s="31">
        <f>G163*AP163</f>
        <v>0</v>
      </c>
      <c r="AY163" s="32" t="s">
        <v>507</v>
      </c>
      <c r="AZ163" s="32" t="s">
        <v>533</v>
      </c>
      <c r="BA163" s="25" t="s">
        <v>541</v>
      </c>
      <c r="BC163" s="31">
        <f>AW163+AX163</f>
        <v>0</v>
      </c>
      <c r="BD163" s="31">
        <f>H163/(100-BE163)*100</f>
        <v>0</v>
      </c>
      <c r="BE163" s="31">
        <v>0</v>
      </c>
      <c r="BF163" s="31">
        <f>163</f>
        <v>163</v>
      </c>
      <c r="BH163" s="16">
        <f>G163*AO163</f>
        <v>0</v>
      </c>
      <c r="BI163" s="16">
        <f>G163*AP163</f>
        <v>0</v>
      </c>
      <c r="BJ163" s="16">
        <f>G163*H163</f>
        <v>0</v>
      </c>
    </row>
    <row r="164" spans="1:62" x14ac:dyDescent="0.2">
      <c r="A164" s="4" t="s">
        <v>118</v>
      </c>
      <c r="B164" s="4" t="s">
        <v>211</v>
      </c>
      <c r="C164" s="136" t="s">
        <v>352</v>
      </c>
      <c r="D164" s="137"/>
      <c r="E164" s="137"/>
      <c r="F164" s="4" t="s">
        <v>458</v>
      </c>
      <c r="G164" s="65">
        <v>0.14699999999999999</v>
      </c>
      <c r="H164" s="15">
        <v>0</v>
      </c>
      <c r="I164" s="15">
        <f>G164*AO164</f>
        <v>0</v>
      </c>
      <c r="J164" s="15">
        <f>G164*AP164</f>
        <v>0</v>
      </c>
      <c r="K164" s="15">
        <f>G164*H164</f>
        <v>0</v>
      </c>
      <c r="L164" s="26" t="s">
        <v>476</v>
      </c>
      <c r="Z164" s="31">
        <f>IF(AQ164="5",BJ164,0)</f>
        <v>0</v>
      </c>
      <c r="AB164" s="31">
        <f>IF(AQ164="1",BH164,0)</f>
        <v>0</v>
      </c>
      <c r="AC164" s="31">
        <f>IF(AQ164="1",BI164,0)</f>
        <v>0</v>
      </c>
      <c r="AD164" s="31">
        <f>IF(AQ164="7",BH164,0)</f>
        <v>0</v>
      </c>
      <c r="AE164" s="31">
        <f>IF(AQ164="7",BI164,0)</f>
        <v>0</v>
      </c>
      <c r="AF164" s="31">
        <f>IF(AQ164="2",BH164,0)</f>
        <v>0</v>
      </c>
      <c r="AG164" s="31">
        <f>IF(AQ164="2",BI164,0)</f>
        <v>0</v>
      </c>
      <c r="AH164" s="31">
        <f>IF(AQ164="0",BJ164,0)</f>
        <v>0</v>
      </c>
      <c r="AI164" s="25" t="s">
        <v>487</v>
      </c>
      <c r="AJ164" s="15">
        <f>IF(AN164=0,K164,0)</f>
        <v>0</v>
      </c>
      <c r="AK164" s="15">
        <f>IF(AN164=15,K164,0)</f>
        <v>0</v>
      </c>
      <c r="AL164" s="15">
        <f>IF(AN164=21,K164,0)</f>
        <v>0</v>
      </c>
      <c r="AN164" s="31">
        <v>21</v>
      </c>
      <c r="AO164" s="31">
        <f>H164*0</f>
        <v>0</v>
      </c>
      <c r="AP164" s="31">
        <f>H164*(1-0)</f>
        <v>0</v>
      </c>
      <c r="AQ164" s="26" t="s">
        <v>11</v>
      </c>
      <c r="AV164" s="31">
        <f>AW164+AX164</f>
        <v>0</v>
      </c>
      <c r="AW164" s="31">
        <f>G164*AO164</f>
        <v>0</v>
      </c>
      <c r="AX164" s="31">
        <f>G164*AP164</f>
        <v>0</v>
      </c>
      <c r="AY164" s="32" t="s">
        <v>507</v>
      </c>
      <c r="AZ164" s="32" t="s">
        <v>533</v>
      </c>
      <c r="BA164" s="25" t="s">
        <v>541</v>
      </c>
      <c r="BC164" s="31">
        <f>AW164+AX164</f>
        <v>0</v>
      </c>
      <c r="BD164" s="31">
        <f>H164/(100-BE164)*100</f>
        <v>0</v>
      </c>
      <c r="BE164" s="31">
        <v>0</v>
      </c>
      <c r="BF164" s="31">
        <f>164</f>
        <v>164</v>
      </c>
      <c r="BH164" s="15">
        <f>G164*AO164</f>
        <v>0</v>
      </c>
      <c r="BI164" s="15">
        <f>G164*AP164</f>
        <v>0</v>
      </c>
      <c r="BJ164" s="15">
        <f>G164*H164</f>
        <v>0</v>
      </c>
    </row>
    <row r="165" spans="1:62" x14ac:dyDescent="0.2">
      <c r="A165" s="3"/>
      <c r="B165" s="11" t="s">
        <v>258</v>
      </c>
      <c r="C165" s="134" t="s">
        <v>415</v>
      </c>
      <c r="D165" s="135"/>
      <c r="E165" s="135"/>
      <c r="F165" s="3" t="s">
        <v>6</v>
      </c>
      <c r="G165" s="3" t="s">
        <v>6</v>
      </c>
      <c r="H165" s="3" t="s">
        <v>6</v>
      </c>
      <c r="I165" s="33">
        <f>SUM(I166:I175)</f>
        <v>0</v>
      </c>
      <c r="J165" s="33">
        <f>SUM(J166:J175)</f>
        <v>0</v>
      </c>
      <c r="K165" s="33">
        <f>SUM(K166:K175)</f>
        <v>0</v>
      </c>
      <c r="L165" s="25"/>
      <c r="AI165" s="25" t="s">
        <v>487</v>
      </c>
      <c r="AS165" s="33">
        <f>SUM(AJ166:AJ175)</f>
        <v>0</v>
      </c>
      <c r="AT165" s="33">
        <f>SUM(AK166:AK175)</f>
        <v>0</v>
      </c>
      <c r="AU165" s="33">
        <f>SUM(AL166:AL175)</f>
        <v>0</v>
      </c>
    </row>
    <row r="166" spans="1:62" x14ac:dyDescent="0.2">
      <c r="A166" s="4" t="s">
        <v>119</v>
      </c>
      <c r="B166" s="4" t="s">
        <v>259</v>
      </c>
      <c r="C166" s="136" t="s">
        <v>416</v>
      </c>
      <c r="D166" s="137"/>
      <c r="E166" s="137"/>
      <c r="F166" s="4" t="s">
        <v>459</v>
      </c>
      <c r="G166" s="65">
        <v>21.914999999999999</v>
      </c>
      <c r="H166" s="15">
        <v>0</v>
      </c>
      <c r="I166" s="15">
        <f t="shared" ref="I166:I175" si="114">G166*AO166</f>
        <v>0</v>
      </c>
      <c r="J166" s="15">
        <f t="shared" ref="J166:J175" si="115">G166*AP166</f>
        <v>0</v>
      </c>
      <c r="K166" s="15">
        <f t="shared" ref="K166:K175" si="116">G166*H166</f>
        <v>0</v>
      </c>
      <c r="L166" s="26" t="s">
        <v>476</v>
      </c>
      <c r="Z166" s="31">
        <f t="shared" ref="Z166:Z175" si="117">IF(AQ166="5",BJ166,0)</f>
        <v>0</v>
      </c>
      <c r="AB166" s="31">
        <f t="shared" ref="AB166:AB175" si="118">IF(AQ166="1",BH166,0)</f>
        <v>0</v>
      </c>
      <c r="AC166" s="31">
        <f t="shared" ref="AC166:AC175" si="119">IF(AQ166="1",BI166,0)</f>
        <v>0</v>
      </c>
      <c r="AD166" s="31">
        <f t="shared" ref="AD166:AD175" si="120">IF(AQ166="7",BH166,0)</f>
        <v>0</v>
      </c>
      <c r="AE166" s="31">
        <f t="shared" ref="AE166:AE175" si="121">IF(AQ166="7",BI166,0)</f>
        <v>0</v>
      </c>
      <c r="AF166" s="31">
        <f t="shared" ref="AF166:AF175" si="122">IF(AQ166="2",BH166,0)</f>
        <v>0</v>
      </c>
      <c r="AG166" s="31">
        <f t="shared" ref="AG166:AG175" si="123">IF(AQ166="2",BI166,0)</f>
        <v>0</v>
      </c>
      <c r="AH166" s="31">
        <f t="shared" ref="AH166:AH175" si="124">IF(AQ166="0",BJ166,0)</f>
        <v>0</v>
      </c>
      <c r="AI166" s="25" t="s">
        <v>487</v>
      </c>
      <c r="AJ166" s="15">
        <f t="shared" ref="AJ166:AJ175" si="125">IF(AN166=0,K166,0)</f>
        <v>0</v>
      </c>
      <c r="AK166" s="15">
        <f t="shared" ref="AK166:AK175" si="126">IF(AN166=15,K166,0)</f>
        <v>0</v>
      </c>
      <c r="AL166" s="15">
        <f t="shared" ref="AL166:AL175" si="127">IF(AN166=21,K166,0)</f>
        <v>0</v>
      </c>
      <c r="AN166" s="31">
        <v>21</v>
      </c>
      <c r="AO166" s="31">
        <f>H166*0.476937150236763</f>
        <v>0</v>
      </c>
      <c r="AP166" s="31">
        <f>H166*(1-0.476937150236763)</f>
        <v>0</v>
      </c>
      <c r="AQ166" s="26" t="s">
        <v>13</v>
      </c>
      <c r="AV166" s="31">
        <f t="shared" ref="AV166:AV175" si="128">AW166+AX166</f>
        <v>0</v>
      </c>
      <c r="AW166" s="31">
        <f t="shared" ref="AW166:AW175" si="129">G166*AO166</f>
        <v>0</v>
      </c>
      <c r="AX166" s="31">
        <f t="shared" ref="AX166:AX175" si="130">G166*AP166</f>
        <v>0</v>
      </c>
      <c r="AY166" s="32" t="s">
        <v>514</v>
      </c>
      <c r="AZ166" s="32" t="s">
        <v>534</v>
      </c>
      <c r="BA166" s="25" t="s">
        <v>541</v>
      </c>
      <c r="BC166" s="31">
        <f t="shared" ref="BC166:BC175" si="131">AW166+AX166</f>
        <v>0</v>
      </c>
      <c r="BD166" s="31">
        <f t="shared" ref="BD166:BD175" si="132">H166/(100-BE166)*100</f>
        <v>0</v>
      </c>
      <c r="BE166" s="31">
        <v>0</v>
      </c>
      <c r="BF166" s="31">
        <f>166</f>
        <v>166</v>
      </c>
      <c r="BH166" s="15">
        <f t="shared" ref="BH166:BH175" si="133">G166*AO166</f>
        <v>0</v>
      </c>
      <c r="BI166" s="15">
        <f t="shared" ref="BI166:BI175" si="134">G166*AP166</f>
        <v>0</v>
      </c>
      <c r="BJ166" s="15">
        <f t="shared" ref="BJ166:BJ175" si="135">G166*H166</f>
        <v>0</v>
      </c>
    </row>
    <row r="167" spans="1:62" x14ac:dyDescent="0.2">
      <c r="A167" s="4" t="s">
        <v>120</v>
      </c>
      <c r="B167" s="4" t="s">
        <v>260</v>
      </c>
      <c r="C167" s="136" t="s">
        <v>417</v>
      </c>
      <c r="D167" s="137"/>
      <c r="E167" s="137"/>
      <c r="F167" s="4" t="s">
        <v>460</v>
      </c>
      <c r="G167" s="65">
        <v>6.8</v>
      </c>
      <c r="H167" s="15">
        <v>0</v>
      </c>
      <c r="I167" s="15">
        <f t="shared" si="114"/>
        <v>0</v>
      </c>
      <c r="J167" s="15">
        <f t="shared" si="115"/>
        <v>0</v>
      </c>
      <c r="K167" s="15">
        <f t="shared" si="116"/>
        <v>0</v>
      </c>
      <c r="L167" s="26" t="s">
        <v>476</v>
      </c>
      <c r="Z167" s="31">
        <f t="shared" si="117"/>
        <v>0</v>
      </c>
      <c r="AB167" s="31">
        <f t="shared" si="118"/>
        <v>0</v>
      </c>
      <c r="AC167" s="31">
        <f t="shared" si="119"/>
        <v>0</v>
      </c>
      <c r="AD167" s="31">
        <f t="shared" si="120"/>
        <v>0</v>
      </c>
      <c r="AE167" s="31">
        <f t="shared" si="121"/>
        <v>0</v>
      </c>
      <c r="AF167" s="31">
        <f t="shared" si="122"/>
        <v>0</v>
      </c>
      <c r="AG167" s="31">
        <f t="shared" si="123"/>
        <v>0</v>
      </c>
      <c r="AH167" s="31">
        <f t="shared" si="124"/>
        <v>0</v>
      </c>
      <c r="AI167" s="25" t="s">
        <v>487</v>
      </c>
      <c r="AJ167" s="15">
        <f t="shared" si="125"/>
        <v>0</v>
      </c>
      <c r="AK167" s="15">
        <f t="shared" si="126"/>
        <v>0</v>
      </c>
      <c r="AL167" s="15">
        <f t="shared" si="127"/>
        <v>0</v>
      </c>
      <c r="AN167" s="31">
        <v>21</v>
      </c>
      <c r="AO167" s="31">
        <f>H167*0</f>
        <v>0</v>
      </c>
      <c r="AP167" s="31">
        <f>H167*(1-0)</f>
        <v>0</v>
      </c>
      <c r="AQ167" s="26" t="s">
        <v>13</v>
      </c>
      <c r="AV167" s="31">
        <f t="shared" si="128"/>
        <v>0</v>
      </c>
      <c r="AW167" s="31">
        <f t="shared" si="129"/>
        <v>0</v>
      </c>
      <c r="AX167" s="31">
        <f t="shared" si="130"/>
        <v>0</v>
      </c>
      <c r="AY167" s="32" t="s">
        <v>514</v>
      </c>
      <c r="AZ167" s="32" t="s">
        <v>534</v>
      </c>
      <c r="BA167" s="25" t="s">
        <v>541</v>
      </c>
      <c r="BC167" s="31">
        <f t="shared" si="131"/>
        <v>0</v>
      </c>
      <c r="BD167" s="31">
        <f t="shared" si="132"/>
        <v>0</v>
      </c>
      <c r="BE167" s="31">
        <v>0</v>
      </c>
      <c r="BF167" s="31">
        <f>167</f>
        <v>167</v>
      </c>
      <c r="BH167" s="15">
        <f t="shared" si="133"/>
        <v>0</v>
      </c>
      <c r="BI167" s="15">
        <f t="shared" si="134"/>
        <v>0</v>
      </c>
      <c r="BJ167" s="15">
        <f t="shared" si="135"/>
        <v>0</v>
      </c>
    </row>
    <row r="168" spans="1:62" x14ac:dyDescent="0.2">
      <c r="A168" s="5" t="s">
        <v>121</v>
      </c>
      <c r="B168" s="5" t="s">
        <v>261</v>
      </c>
      <c r="C168" s="151" t="s">
        <v>418</v>
      </c>
      <c r="D168" s="152"/>
      <c r="E168" s="152"/>
      <c r="F168" s="5" t="s">
        <v>459</v>
      </c>
      <c r="G168" s="68">
        <v>0.748</v>
      </c>
      <c r="H168" s="16">
        <v>0</v>
      </c>
      <c r="I168" s="16">
        <f t="shared" si="114"/>
        <v>0</v>
      </c>
      <c r="J168" s="16">
        <f t="shared" si="115"/>
        <v>0</v>
      </c>
      <c r="K168" s="16">
        <f t="shared" si="116"/>
        <v>0</v>
      </c>
      <c r="L168" s="27" t="s">
        <v>476</v>
      </c>
      <c r="Z168" s="31">
        <f t="shared" si="117"/>
        <v>0</v>
      </c>
      <c r="AB168" s="31">
        <f t="shared" si="118"/>
        <v>0</v>
      </c>
      <c r="AC168" s="31">
        <f t="shared" si="119"/>
        <v>0</v>
      </c>
      <c r="AD168" s="31">
        <f t="shared" si="120"/>
        <v>0</v>
      </c>
      <c r="AE168" s="31">
        <f t="shared" si="121"/>
        <v>0</v>
      </c>
      <c r="AF168" s="31">
        <f t="shared" si="122"/>
        <v>0</v>
      </c>
      <c r="AG168" s="31">
        <f t="shared" si="123"/>
        <v>0</v>
      </c>
      <c r="AH168" s="31">
        <f t="shared" si="124"/>
        <v>0</v>
      </c>
      <c r="AI168" s="25" t="s">
        <v>487</v>
      </c>
      <c r="AJ168" s="16">
        <f t="shared" si="125"/>
        <v>0</v>
      </c>
      <c r="AK168" s="16">
        <f t="shared" si="126"/>
        <v>0</v>
      </c>
      <c r="AL168" s="16">
        <f t="shared" si="127"/>
        <v>0</v>
      </c>
      <c r="AN168" s="31">
        <v>21</v>
      </c>
      <c r="AO168" s="31">
        <f>H168*1</f>
        <v>0</v>
      </c>
      <c r="AP168" s="31">
        <f>H168*(1-1)</f>
        <v>0</v>
      </c>
      <c r="AQ168" s="27" t="s">
        <v>13</v>
      </c>
      <c r="AV168" s="31">
        <f t="shared" si="128"/>
        <v>0</v>
      </c>
      <c r="AW168" s="31">
        <f t="shared" si="129"/>
        <v>0</v>
      </c>
      <c r="AX168" s="31">
        <f t="shared" si="130"/>
        <v>0</v>
      </c>
      <c r="AY168" s="32" t="s">
        <v>514</v>
      </c>
      <c r="AZ168" s="32" t="s">
        <v>534</v>
      </c>
      <c r="BA168" s="25" t="s">
        <v>541</v>
      </c>
      <c r="BC168" s="31">
        <f t="shared" si="131"/>
        <v>0</v>
      </c>
      <c r="BD168" s="31">
        <f t="shared" si="132"/>
        <v>0</v>
      </c>
      <c r="BE168" s="31">
        <v>0</v>
      </c>
      <c r="BF168" s="31">
        <f>168</f>
        <v>168</v>
      </c>
      <c r="BH168" s="16">
        <f t="shared" si="133"/>
        <v>0</v>
      </c>
      <c r="BI168" s="16">
        <f t="shared" si="134"/>
        <v>0</v>
      </c>
      <c r="BJ168" s="16">
        <f t="shared" si="135"/>
        <v>0</v>
      </c>
    </row>
    <row r="169" spans="1:62" x14ac:dyDescent="0.2">
      <c r="A169" s="4" t="s">
        <v>122</v>
      </c>
      <c r="B169" s="4" t="s">
        <v>262</v>
      </c>
      <c r="C169" s="136" t="s">
        <v>419</v>
      </c>
      <c r="D169" s="137"/>
      <c r="E169" s="137"/>
      <c r="F169" s="4" t="s">
        <v>460</v>
      </c>
      <c r="G169" s="65">
        <v>4.5330000000000004</v>
      </c>
      <c r="H169" s="15">
        <v>0</v>
      </c>
      <c r="I169" s="15">
        <f t="shared" si="114"/>
        <v>0</v>
      </c>
      <c r="J169" s="15">
        <f t="shared" si="115"/>
        <v>0</v>
      </c>
      <c r="K169" s="15">
        <f t="shared" si="116"/>
        <v>0</v>
      </c>
      <c r="L169" s="26" t="s">
        <v>476</v>
      </c>
      <c r="Z169" s="31">
        <f t="shared" si="117"/>
        <v>0</v>
      </c>
      <c r="AB169" s="31">
        <f t="shared" si="118"/>
        <v>0</v>
      </c>
      <c r="AC169" s="31">
        <f t="shared" si="119"/>
        <v>0</v>
      </c>
      <c r="AD169" s="31">
        <f t="shared" si="120"/>
        <v>0</v>
      </c>
      <c r="AE169" s="31">
        <f t="shared" si="121"/>
        <v>0</v>
      </c>
      <c r="AF169" s="31">
        <f t="shared" si="122"/>
        <v>0</v>
      </c>
      <c r="AG169" s="31">
        <f t="shared" si="123"/>
        <v>0</v>
      </c>
      <c r="AH169" s="31">
        <f t="shared" si="124"/>
        <v>0</v>
      </c>
      <c r="AI169" s="25" t="s">
        <v>487</v>
      </c>
      <c r="AJ169" s="15">
        <f t="shared" si="125"/>
        <v>0</v>
      </c>
      <c r="AK169" s="15">
        <f t="shared" si="126"/>
        <v>0</v>
      </c>
      <c r="AL169" s="15">
        <f t="shared" si="127"/>
        <v>0</v>
      </c>
      <c r="AN169" s="31">
        <v>21</v>
      </c>
      <c r="AO169" s="31">
        <f>H169*0.0577818908748824</f>
        <v>0</v>
      </c>
      <c r="AP169" s="31">
        <f>H169*(1-0.0577818908748824)</f>
        <v>0</v>
      </c>
      <c r="AQ169" s="26" t="s">
        <v>13</v>
      </c>
      <c r="AV169" s="31">
        <f t="shared" si="128"/>
        <v>0</v>
      </c>
      <c r="AW169" s="31">
        <f t="shared" si="129"/>
        <v>0</v>
      </c>
      <c r="AX169" s="31">
        <f t="shared" si="130"/>
        <v>0</v>
      </c>
      <c r="AY169" s="32" t="s">
        <v>514</v>
      </c>
      <c r="AZ169" s="32" t="s">
        <v>534</v>
      </c>
      <c r="BA169" s="25" t="s">
        <v>541</v>
      </c>
      <c r="BC169" s="31">
        <f t="shared" si="131"/>
        <v>0</v>
      </c>
      <c r="BD169" s="31">
        <f t="shared" si="132"/>
        <v>0</v>
      </c>
      <c r="BE169" s="31">
        <v>0</v>
      </c>
      <c r="BF169" s="31">
        <f>169</f>
        <v>169</v>
      </c>
      <c r="BH169" s="15">
        <f t="shared" si="133"/>
        <v>0</v>
      </c>
      <c r="BI169" s="15">
        <f t="shared" si="134"/>
        <v>0</v>
      </c>
      <c r="BJ169" s="15">
        <f t="shared" si="135"/>
        <v>0</v>
      </c>
    </row>
    <row r="170" spans="1:62" x14ac:dyDescent="0.2">
      <c r="A170" s="4" t="s">
        <v>123</v>
      </c>
      <c r="B170" s="4" t="s">
        <v>263</v>
      </c>
      <c r="C170" s="136" t="s">
        <v>420</v>
      </c>
      <c r="D170" s="137"/>
      <c r="E170" s="137"/>
      <c r="F170" s="4" t="s">
        <v>459</v>
      </c>
      <c r="G170" s="65">
        <v>21.914999999999999</v>
      </c>
      <c r="H170" s="15">
        <v>0</v>
      </c>
      <c r="I170" s="15">
        <f t="shared" si="114"/>
        <v>0</v>
      </c>
      <c r="J170" s="15">
        <f t="shared" si="115"/>
        <v>0</v>
      </c>
      <c r="K170" s="15">
        <f t="shared" si="116"/>
        <v>0</v>
      </c>
      <c r="L170" s="26" t="s">
        <v>476</v>
      </c>
      <c r="Z170" s="31">
        <f t="shared" si="117"/>
        <v>0</v>
      </c>
      <c r="AB170" s="31">
        <f t="shared" si="118"/>
        <v>0</v>
      </c>
      <c r="AC170" s="31">
        <f t="shared" si="119"/>
        <v>0</v>
      </c>
      <c r="AD170" s="31">
        <f t="shared" si="120"/>
        <v>0</v>
      </c>
      <c r="AE170" s="31">
        <f t="shared" si="121"/>
        <v>0</v>
      </c>
      <c r="AF170" s="31">
        <f t="shared" si="122"/>
        <v>0</v>
      </c>
      <c r="AG170" s="31">
        <f t="shared" si="123"/>
        <v>0</v>
      </c>
      <c r="AH170" s="31">
        <f t="shared" si="124"/>
        <v>0</v>
      </c>
      <c r="AI170" s="25" t="s">
        <v>487</v>
      </c>
      <c r="AJ170" s="15">
        <f t="shared" si="125"/>
        <v>0</v>
      </c>
      <c r="AK170" s="15">
        <f t="shared" si="126"/>
        <v>0</v>
      </c>
      <c r="AL170" s="15">
        <f t="shared" si="127"/>
        <v>0</v>
      </c>
      <c r="AN170" s="31">
        <v>21</v>
      </c>
      <c r="AO170" s="31">
        <f>H170*0.176523217867913</f>
        <v>0</v>
      </c>
      <c r="AP170" s="31">
        <f>H170*(1-0.176523217867913)</f>
        <v>0</v>
      </c>
      <c r="AQ170" s="26" t="s">
        <v>13</v>
      </c>
      <c r="AV170" s="31">
        <f t="shared" si="128"/>
        <v>0</v>
      </c>
      <c r="AW170" s="31">
        <f t="shared" si="129"/>
        <v>0</v>
      </c>
      <c r="AX170" s="31">
        <f t="shared" si="130"/>
        <v>0</v>
      </c>
      <c r="AY170" s="32" t="s">
        <v>514</v>
      </c>
      <c r="AZ170" s="32" t="s">
        <v>534</v>
      </c>
      <c r="BA170" s="25" t="s">
        <v>541</v>
      </c>
      <c r="BC170" s="31">
        <f t="shared" si="131"/>
        <v>0</v>
      </c>
      <c r="BD170" s="31">
        <f t="shared" si="132"/>
        <v>0</v>
      </c>
      <c r="BE170" s="31">
        <v>0</v>
      </c>
      <c r="BF170" s="31">
        <f>170</f>
        <v>170</v>
      </c>
      <c r="BH170" s="15">
        <f t="shared" si="133"/>
        <v>0</v>
      </c>
      <c r="BI170" s="15">
        <f t="shared" si="134"/>
        <v>0</v>
      </c>
      <c r="BJ170" s="15">
        <f t="shared" si="135"/>
        <v>0</v>
      </c>
    </row>
    <row r="171" spans="1:62" x14ac:dyDescent="0.2">
      <c r="A171" s="5" t="s">
        <v>124</v>
      </c>
      <c r="B171" s="5" t="s">
        <v>261</v>
      </c>
      <c r="C171" s="151" t="s">
        <v>418</v>
      </c>
      <c r="D171" s="152"/>
      <c r="E171" s="152"/>
      <c r="F171" s="5" t="s">
        <v>459</v>
      </c>
      <c r="G171" s="68">
        <v>23.010999999999999</v>
      </c>
      <c r="H171" s="16">
        <v>0</v>
      </c>
      <c r="I171" s="16">
        <f t="shared" si="114"/>
        <v>0</v>
      </c>
      <c r="J171" s="16">
        <f t="shared" si="115"/>
        <v>0</v>
      </c>
      <c r="K171" s="16">
        <f t="shared" si="116"/>
        <v>0</v>
      </c>
      <c r="L171" s="27" t="s">
        <v>476</v>
      </c>
      <c r="Z171" s="31">
        <f t="shared" si="117"/>
        <v>0</v>
      </c>
      <c r="AB171" s="31">
        <f t="shared" si="118"/>
        <v>0</v>
      </c>
      <c r="AC171" s="31">
        <f t="shared" si="119"/>
        <v>0</v>
      </c>
      <c r="AD171" s="31">
        <f t="shared" si="120"/>
        <v>0</v>
      </c>
      <c r="AE171" s="31">
        <f t="shared" si="121"/>
        <v>0</v>
      </c>
      <c r="AF171" s="31">
        <f t="shared" si="122"/>
        <v>0</v>
      </c>
      <c r="AG171" s="31">
        <f t="shared" si="123"/>
        <v>0</v>
      </c>
      <c r="AH171" s="31">
        <f t="shared" si="124"/>
        <v>0</v>
      </c>
      <c r="AI171" s="25" t="s">
        <v>487</v>
      </c>
      <c r="AJ171" s="16">
        <f t="shared" si="125"/>
        <v>0</v>
      </c>
      <c r="AK171" s="16">
        <f t="shared" si="126"/>
        <v>0</v>
      </c>
      <c r="AL171" s="16">
        <f t="shared" si="127"/>
        <v>0</v>
      </c>
      <c r="AN171" s="31">
        <v>21</v>
      </c>
      <c r="AO171" s="31">
        <f>H171*1</f>
        <v>0</v>
      </c>
      <c r="AP171" s="31">
        <f>H171*(1-1)</f>
        <v>0</v>
      </c>
      <c r="AQ171" s="27" t="s">
        <v>13</v>
      </c>
      <c r="AV171" s="31">
        <f t="shared" si="128"/>
        <v>0</v>
      </c>
      <c r="AW171" s="31">
        <f t="shared" si="129"/>
        <v>0</v>
      </c>
      <c r="AX171" s="31">
        <f t="shared" si="130"/>
        <v>0</v>
      </c>
      <c r="AY171" s="32" t="s">
        <v>514</v>
      </c>
      <c r="AZ171" s="32" t="s">
        <v>534</v>
      </c>
      <c r="BA171" s="25" t="s">
        <v>541</v>
      </c>
      <c r="BC171" s="31">
        <f t="shared" si="131"/>
        <v>0</v>
      </c>
      <c r="BD171" s="31">
        <f t="shared" si="132"/>
        <v>0</v>
      </c>
      <c r="BE171" s="31">
        <v>0</v>
      </c>
      <c r="BF171" s="31">
        <f>171</f>
        <v>171</v>
      </c>
      <c r="BH171" s="16">
        <f t="shared" si="133"/>
        <v>0</v>
      </c>
      <c r="BI171" s="16">
        <f t="shared" si="134"/>
        <v>0</v>
      </c>
      <c r="BJ171" s="16">
        <f t="shared" si="135"/>
        <v>0</v>
      </c>
    </row>
    <row r="172" spans="1:62" x14ac:dyDescent="0.2">
      <c r="A172" s="4" t="s">
        <v>125</v>
      </c>
      <c r="B172" s="4" t="s">
        <v>264</v>
      </c>
      <c r="C172" s="136" t="s">
        <v>421</v>
      </c>
      <c r="D172" s="137"/>
      <c r="E172" s="137"/>
      <c r="F172" s="4" t="s">
        <v>460</v>
      </c>
      <c r="G172" s="65">
        <v>23.35</v>
      </c>
      <c r="H172" s="15">
        <v>0</v>
      </c>
      <c r="I172" s="15">
        <f t="shared" si="114"/>
        <v>0</v>
      </c>
      <c r="J172" s="15">
        <f t="shared" si="115"/>
        <v>0</v>
      </c>
      <c r="K172" s="15">
        <f t="shared" si="116"/>
        <v>0</v>
      </c>
      <c r="L172" s="26" t="s">
        <v>476</v>
      </c>
      <c r="Z172" s="31">
        <f t="shared" si="117"/>
        <v>0</v>
      </c>
      <c r="AB172" s="31">
        <f t="shared" si="118"/>
        <v>0</v>
      </c>
      <c r="AC172" s="31">
        <f t="shared" si="119"/>
        <v>0</v>
      </c>
      <c r="AD172" s="31">
        <f t="shared" si="120"/>
        <v>0</v>
      </c>
      <c r="AE172" s="31">
        <f t="shared" si="121"/>
        <v>0</v>
      </c>
      <c r="AF172" s="31">
        <f t="shared" si="122"/>
        <v>0</v>
      </c>
      <c r="AG172" s="31">
        <f t="shared" si="123"/>
        <v>0</v>
      </c>
      <c r="AH172" s="31">
        <f t="shared" si="124"/>
        <v>0</v>
      </c>
      <c r="AI172" s="25" t="s">
        <v>487</v>
      </c>
      <c r="AJ172" s="15">
        <f t="shared" si="125"/>
        <v>0</v>
      </c>
      <c r="AK172" s="15">
        <f t="shared" si="126"/>
        <v>0</v>
      </c>
      <c r="AL172" s="15">
        <f t="shared" si="127"/>
        <v>0</v>
      </c>
      <c r="AN172" s="31">
        <v>21</v>
      </c>
      <c r="AO172" s="31">
        <f>H172*0.626729559748428</f>
        <v>0</v>
      </c>
      <c r="AP172" s="31">
        <f>H172*(1-0.626729559748428)</f>
        <v>0</v>
      </c>
      <c r="AQ172" s="26" t="s">
        <v>13</v>
      </c>
      <c r="AV172" s="31">
        <f t="shared" si="128"/>
        <v>0</v>
      </c>
      <c r="AW172" s="31">
        <f t="shared" si="129"/>
        <v>0</v>
      </c>
      <c r="AX172" s="31">
        <f t="shared" si="130"/>
        <v>0</v>
      </c>
      <c r="AY172" s="32" t="s">
        <v>514</v>
      </c>
      <c r="AZ172" s="32" t="s">
        <v>534</v>
      </c>
      <c r="BA172" s="25" t="s">
        <v>541</v>
      </c>
      <c r="BC172" s="31">
        <f t="shared" si="131"/>
        <v>0</v>
      </c>
      <c r="BD172" s="31">
        <f t="shared" si="132"/>
        <v>0</v>
      </c>
      <c r="BE172" s="31">
        <v>0</v>
      </c>
      <c r="BF172" s="31">
        <f>172</f>
        <v>172</v>
      </c>
      <c r="BH172" s="15">
        <f t="shared" si="133"/>
        <v>0</v>
      </c>
      <c r="BI172" s="15">
        <f t="shared" si="134"/>
        <v>0</v>
      </c>
      <c r="BJ172" s="15">
        <f t="shared" si="135"/>
        <v>0</v>
      </c>
    </row>
    <row r="173" spans="1:62" x14ac:dyDescent="0.2">
      <c r="A173" s="4" t="s">
        <v>126</v>
      </c>
      <c r="B173" s="4" t="s">
        <v>265</v>
      </c>
      <c r="C173" s="136" t="s">
        <v>422</v>
      </c>
      <c r="D173" s="137"/>
      <c r="E173" s="137"/>
      <c r="F173" s="4" t="s">
        <v>459</v>
      </c>
      <c r="G173" s="65">
        <v>21.914999999999999</v>
      </c>
      <c r="H173" s="15">
        <v>0</v>
      </c>
      <c r="I173" s="15">
        <f t="shared" si="114"/>
        <v>0</v>
      </c>
      <c r="J173" s="15">
        <f t="shared" si="115"/>
        <v>0</v>
      </c>
      <c r="K173" s="15">
        <f t="shared" si="116"/>
        <v>0</v>
      </c>
      <c r="L173" s="26" t="s">
        <v>476</v>
      </c>
      <c r="Z173" s="31">
        <f t="shared" si="117"/>
        <v>0</v>
      </c>
      <c r="AB173" s="31">
        <f t="shared" si="118"/>
        <v>0</v>
      </c>
      <c r="AC173" s="31">
        <f t="shared" si="119"/>
        <v>0</v>
      </c>
      <c r="AD173" s="31">
        <f t="shared" si="120"/>
        <v>0</v>
      </c>
      <c r="AE173" s="31">
        <f t="shared" si="121"/>
        <v>0</v>
      </c>
      <c r="AF173" s="31">
        <f t="shared" si="122"/>
        <v>0</v>
      </c>
      <c r="AG173" s="31">
        <f t="shared" si="123"/>
        <v>0</v>
      </c>
      <c r="AH173" s="31">
        <f t="shared" si="124"/>
        <v>0</v>
      </c>
      <c r="AI173" s="25" t="s">
        <v>487</v>
      </c>
      <c r="AJ173" s="15">
        <f t="shared" si="125"/>
        <v>0</v>
      </c>
      <c r="AK173" s="15">
        <f t="shared" si="126"/>
        <v>0</v>
      </c>
      <c r="AL173" s="15">
        <f t="shared" si="127"/>
        <v>0</v>
      </c>
      <c r="AN173" s="31">
        <v>21</v>
      </c>
      <c r="AO173" s="31">
        <f>H173*0</f>
        <v>0</v>
      </c>
      <c r="AP173" s="31">
        <f>H173*(1-0)</f>
        <v>0</v>
      </c>
      <c r="AQ173" s="26" t="s">
        <v>13</v>
      </c>
      <c r="AV173" s="31">
        <f t="shared" si="128"/>
        <v>0</v>
      </c>
      <c r="AW173" s="31">
        <f t="shared" si="129"/>
        <v>0</v>
      </c>
      <c r="AX173" s="31">
        <f t="shared" si="130"/>
        <v>0</v>
      </c>
      <c r="AY173" s="32" t="s">
        <v>514</v>
      </c>
      <c r="AZ173" s="32" t="s">
        <v>534</v>
      </c>
      <c r="BA173" s="25" t="s">
        <v>541</v>
      </c>
      <c r="BC173" s="31">
        <f t="shared" si="131"/>
        <v>0</v>
      </c>
      <c r="BD173" s="31">
        <f t="shared" si="132"/>
        <v>0</v>
      </c>
      <c r="BE173" s="31">
        <v>0</v>
      </c>
      <c r="BF173" s="31">
        <f>173</f>
        <v>173</v>
      </c>
      <c r="BH173" s="15">
        <f t="shared" si="133"/>
        <v>0</v>
      </c>
      <c r="BI173" s="15">
        <f t="shared" si="134"/>
        <v>0</v>
      </c>
      <c r="BJ173" s="15">
        <f t="shared" si="135"/>
        <v>0</v>
      </c>
    </row>
    <row r="174" spans="1:62" x14ac:dyDescent="0.2">
      <c r="A174" s="4" t="s">
        <v>127</v>
      </c>
      <c r="B174" s="4" t="s">
        <v>266</v>
      </c>
      <c r="C174" s="136" t="s">
        <v>423</v>
      </c>
      <c r="D174" s="137"/>
      <c r="E174" s="137"/>
      <c r="F174" s="4" t="s">
        <v>459</v>
      </c>
      <c r="G174" s="65">
        <v>21.914999999999999</v>
      </c>
      <c r="H174" s="15">
        <v>0</v>
      </c>
      <c r="I174" s="15">
        <f t="shared" si="114"/>
        <v>0</v>
      </c>
      <c r="J174" s="15">
        <f t="shared" si="115"/>
        <v>0</v>
      </c>
      <c r="K174" s="15">
        <f t="shared" si="116"/>
        <v>0</v>
      </c>
      <c r="L174" s="26" t="s">
        <v>476</v>
      </c>
      <c r="Z174" s="31">
        <f t="shared" si="117"/>
        <v>0</v>
      </c>
      <c r="AB174" s="31">
        <f t="shared" si="118"/>
        <v>0</v>
      </c>
      <c r="AC174" s="31">
        <f t="shared" si="119"/>
        <v>0</v>
      </c>
      <c r="AD174" s="31">
        <f t="shared" si="120"/>
        <v>0</v>
      </c>
      <c r="AE174" s="31">
        <f t="shared" si="121"/>
        <v>0</v>
      </c>
      <c r="AF174" s="31">
        <f t="shared" si="122"/>
        <v>0</v>
      </c>
      <c r="AG174" s="31">
        <f t="shared" si="123"/>
        <v>0</v>
      </c>
      <c r="AH174" s="31">
        <f t="shared" si="124"/>
        <v>0</v>
      </c>
      <c r="AI174" s="25" t="s">
        <v>487</v>
      </c>
      <c r="AJ174" s="15">
        <f t="shared" si="125"/>
        <v>0</v>
      </c>
      <c r="AK174" s="15">
        <f t="shared" si="126"/>
        <v>0</v>
      </c>
      <c r="AL174" s="15">
        <f t="shared" si="127"/>
        <v>0</v>
      </c>
      <c r="AN174" s="31">
        <v>21</v>
      </c>
      <c r="AO174" s="31">
        <f>H174*0.999994929931656</f>
        <v>0</v>
      </c>
      <c r="AP174" s="31">
        <f>H174*(1-0.999994929931656)</f>
        <v>0</v>
      </c>
      <c r="AQ174" s="26" t="s">
        <v>13</v>
      </c>
      <c r="AV174" s="31">
        <f t="shared" si="128"/>
        <v>0</v>
      </c>
      <c r="AW174" s="31">
        <f t="shared" si="129"/>
        <v>0</v>
      </c>
      <c r="AX174" s="31">
        <f t="shared" si="130"/>
        <v>0</v>
      </c>
      <c r="AY174" s="32" t="s">
        <v>514</v>
      </c>
      <c r="AZ174" s="32" t="s">
        <v>534</v>
      </c>
      <c r="BA174" s="25" t="s">
        <v>541</v>
      </c>
      <c r="BC174" s="31">
        <f t="shared" si="131"/>
        <v>0</v>
      </c>
      <c r="BD174" s="31">
        <f t="shared" si="132"/>
        <v>0</v>
      </c>
      <c r="BE174" s="31">
        <v>0</v>
      </c>
      <c r="BF174" s="31">
        <f>174</f>
        <v>174</v>
      </c>
      <c r="BH174" s="15">
        <f t="shared" si="133"/>
        <v>0</v>
      </c>
      <c r="BI174" s="15">
        <f t="shared" si="134"/>
        <v>0</v>
      </c>
      <c r="BJ174" s="15">
        <f t="shared" si="135"/>
        <v>0</v>
      </c>
    </row>
    <row r="175" spans="1:62" x14ac:dyDescent="0.2">
      <c r="A175" s="4" t="s">
        <v>128</v>
      </c>
      <c r="B175" s="4" t="s">
        <v>267</v>
      </c>
      <c r="C175" s="136" t="s">
        <v>424</v>
      </c>
      <c r="D175" s="137"/>
      <c r="E175" s="137"/>
      <c r="F175" s="4" t="s">
        <v>458</v>
      </c>
      <c r="G175" s="65">
        <v>0.55600000000000005</v>
      </c>
      <c r="H175" s="15">
        <v>0</v>
      </c>
      <c r="I175" s="15">
        <f t="shared" si="114"/>
        <v>0</v>
      </c>
      <c r="J175" s="15">
        <f t="shared" si="115"/>
        <v>0</v>
      </c>
      <c r="K175" s="15">
        <f t="shared" si="116"/>
        <v>0</v>
      </c>
      <c r="L175" s="26" t="s">
        <v>476</v>
      </c>
      <c r="Z175" s="31">
        <f t="shared" si="117"/>
        <v>0</v>
      </c>
      <c r="AB175" s="31">
        <f t="shared" si="118"/>
        <v>0</v>
      </c>
      <c r="AC175" s="31">
        <f t="shared" si="119"/>
        <v>0</v>
      </c>
      <c r="AD175" s="31">
        <f t="shared" si="120"/>
        <v>0</v>
      </c>
      <c r="AE175" s="31">
        <f t="shared" si="121"/>
        <v>0</v>
      </c>
      <c r="AF175" s="31">
        <f t="shared" si="122"/>
        <v>0</v>
      </c>
      <c r="AG175" s="31">
        <f t="shared" si="123"/>
        <v>0</v>
      </c>
      <c r="AH175" s="31">
        <f t="shared" si="124"/>
        <v>0</v>
      </c>
      <c r="AI175" s="25" t="s">
        <v>487</v>
      </c>
      <c r="AJ175" s="15">
        <f t="shared" si="125"/>
        <v>0</v>
      </c>
      <c r="AK175" s="15">
        <f t="shared" si="126"/>
        <v>0</v>
      </c>
      <c r="AL175" s="15">
        <f t="shared" si="127"/>
        <v>0</v>
      </c>
      <c r="AN175" s="31">
        <v>21</v>
      </c>
      <c r="AO175" s="31">
        <f>H175*0</f>
        <v>0</v>
      </c>
      <c r="AP175" s="31">
        <f>H175*(1-0)</f>
        <v>0</v>
      </c>
      <c r="AQ175" s="26" t="s">
        <v>11</v>
      </c>
      <c r="AV175" s="31">
        <f t="shared" si="128"/>
        <v>0</v>
      </c>
      <c r="AW175" s="31">
        <f t="shared" si="129"/>
        <v>0</v>
      </c>
      <c r="AX175" s="31">
        <f t="shared" si="130"/>
        <v>0</v>
      </c>
      <c r="AY175" s="32" t="s">
        <v>514</v>
      </c>
      <c r="AZ175" s="32" t="s">
        <v>534</v>
      </c>
      <c r="BA175" s="25" t="s">
        <v>541</v>
      </c>
      <c r="BC175" s="31">
        <f t="shared" si="131"/>
        <v>0</v>
      </c>
      <c r="BD175" s="31">
        <f t="shared" si="132"/>
        <v>0</v>
      </c>
      <c r="BE175" s="31">
        <v>0</v>
      </c>
      <c r="BF175" s="31">
        <f>175</f>
        <v>175</v>
      </c>
      <c r="BH175" s="15">
        <f t="shared" si="133"/>
        <v>0</v>
      </c>
      <c r="BI175" s="15">
        <f t="shared" si="134"/>
        <v>0</v>
      </c>
      <c r="BJ175" s="15">
        <f t="shared" si="135"/>
        <v>0</v>
      </c>
    </row>
    <row r="176" spans="1:62" x14ac:dyDescent="0.2">
      <c r="A176" s="3"/>
      <c r="B176" s="11" t="s">
        <v>268</v>
      </c>
      <c r="C176" s="134" t="s">
        <v>425</v>
      </c>
      <c r="D176" s="135"/>
      <c r="E176" s="135"/>
      <c r="F176" s="3" t="s">
        <v>6</v>
      </c>
      <c r="G176" s="3" t="s">
        <v>6</v>
      </c>
      <c r="H176" s="3" t="s">
        <v>6</v>
      </c>
      <c r="I176" s="33">
        <f>SUM(I177:I184)</f>
        <v>0</v>
      </c>
      <c r="J176" s="33">
        <f>SUM(J177:J184)</f>
        <v>0</v>
      </c>
      <c r="K176" s="33">
        <f>SUM(K177:K184)</f>
        <v>0</v>
      </c>
      <c r="L176" s="25"/>
      <c r="AI176" s="25" t="s">
        <v>487</v>
      </c>
      <c r="AS176" s="33">
        <f>SUM(AJ177:AJ184)</f>
        <v>0</v>
      </c>
      <c r="AT176" s="33">
        <f>SUM(AK177:AK184)</f>
        <v>0</v>
      </c>
      <c r="AU176" s="33">
        <f>SUM(AL177:AL184)</f>
        <v>0</v>
      </c>
    </row>
    <row r="177" spans="1:62" x14ac:dyDescent="0.2">
      <c r="A177" s="4" t="s">
        <v>129</v>
      </c>
      <c r="B177" s="4" t="s">
        <v>269</v>
      </c>
      <c r="C177" s="136" t="s">
        <v>426</v>
      </c>
      <c r="D177" s="137"/>
      <c r="E177" s="137"/>
      <c r="F177" s="4" t="s">
        <v>459</v>
      </c>
      <c r="G177" s="65">
        <v>49.034999999999997</v>
      </c>
      <c r="H177" s="15">
        <v>0</v>
      </c>
      <c r="I177" s="15">
        <f t="shared" ref="I177:I184" si="136">G177*AO177</f>
        <v>0</v>
      </c>
      <c r="J177" s="15">
        <f t="shared" ref="J177:J184" si="137">G177*AP177</f>
        <v>0</v>
      </c>
      <c r="K177" s="15">
        <f t="shared" ref="K177:K184" si="138">G177*H177</f>
        <v>0</v>
      </c>
      <c r="L177" s="26" t="s">
        <v>476</v>
      </c>
      <c r="Z177" s="31">
        <f t="shared" ref="Z177:Z184" si="139">IF(AQ177="5",BJ177,0)</f>
        <v>0</v>
      </c>
      <c r="AB177" s="31">
        <f t="shared" ref="AB177:AB184" si="140">IF(AQ177="1",BH177,0)</f>
        <v>0</v>
      </c>
      <c r="AC177" s="31">
        <f t="shared" ref="AC177:AC184" si="141">IF(AQ177="1",BI177,0)</f>
        <v>0</v>
      </c>
      <c r="AD177" s="31">
        <f t="shared" ref="AD177:AD184" si="142">IF(AQ177="7",BH177,0)</f>
        <v>0</v>
      </c>
      <c r="AE177" s="31">
        <f t="shared" ref="AE177:AE184" si="143">IF(AQ177="7",BI177,0)</f>
        <v>0</v>
      </c>
      <c r="AF177" s="31">
        <f t="shared" ref="AF177:AF184" si="144">IF(AQ177="2",BH177,0)</f>
        <v>0</v>
      </c>
      <c r="AG177" s="31">
        <f t="shared" ref="AG177:AG184" si="145">IF(AQ177="2",BI177,0)</f>
        <v>0</v>
      </c>
      <c r="AH177" s="31">
        <f t="shared" ref="AH177:AH184" si="146">IF(AQ177="0",BJ177,0)</f>
        <v>0</v>
      </c>
      <c r="AI177" s="25" t="s">
        <v>487</v>
      </c>
      <c r="AJ177" s="15">
        <f t="shared" ref="AJ177:AJ184" si="147">IF(AN177=0,K177,0)</f>
        <v>0</v>
      </c>
      <c r="AK177" s="15">
        <f t="shared" ref="AK177:AK184" si="148">IF(AN177=15,K177,0)</f>
        <v>0</v>
      </c>
      <c r="AL177" s="15">
        <f t="shared" ref="AL177:AL184" si="149">IF(AN177=21,K177,0)</f>
        <v>0</v>
      </c>
      <c r="AN177" s="31">
        <v>21</v>
      </c>
      <c r="AO177" s="31">
        <f>H177*0.476939101399334</f>
        <v>0</v>
      </c>
      <c r="AP177" s="31">
        <f>H177*(1-0.476939101399334)</f>
        <v>0</v>
      </c>
      <c r="AQ177" s="26" t="s">
        <v>13</v>
      </c>
      <c r="AV177" s="31">
        <f t="shared" ref="AV177:AV184" si="150">AW177+AX177</f>
        <v>0</v>
      </c>
      <c r="AW177" s="31">
        <f t="shared" ref="AW177:AW184" si="151">G177*AO177</f>
        <v>0</v>
      </c>
      <c r="AX177" s="31">
        <f t="shared" ref="AX177:AX184" si="152">G177*AP177</f>
        <v>0</v>
      </c>
      <c r="AY177" s="32" t="s">
        <v>515</v>
      </c>
      <c r="AZ177" s="32" t="s">
        <v>535</v>
      </c>
      <c r="BA177" s="25" t="s">
        <v>541</v>
      </c>
      <c r="BC177" s="31">
        <f t="shared" ref="BC177:BC184" si="153">AW177+AX177</f>
        <v>0</v>
      </c>
      <c r="BD177" s="31">
        <f t="shared" ref="BD177:BD184" si="154">H177/(100-BE177)*100</f>
        <v>0</v>
      </c>
      <c r="BE177" s="31">
        <v>0</v>
      </c>
      <c r="BF177" s="31">
        <f>177</f>
        <v>177</v>
      </c>
      <c r="BH177" s="15">
        <f t="shared" ref="BH177:BH184" si="155">G177*AO177</f>
        <v>0</v>
      </c>
      <c r="BI177" s="15">
        <f t="shared" ref="BI177:BI184" si="156">G177*AP177</f>
        <v>0</v>
      </c>
      <c r="BJ177" s="15">
        <f t="shared" ref="BJ177:BJ184" si="157">G177*H177</f>
        <v>0</v>
      </c>
    </row>
    <row r="178" spans="1:62" x14ac:dyDescent="0.2">
      <c r="A178" s="4" t="s">
        <v>130</v>
      </c>
      <c r="B178" s="4" t="s">
        <v>270</v>
      </c>
      <c r="C178" s="136" t="s">
        <v>427</v>
      </c>
      <c r="D178" s="137"/>
      <c r="E178" s="137"/>
      <c r="F178" s="4" t="s">
        <v>459</v>
      </c>
      <c r="G178" s="65">
        <v>49.034999999999997</v>
      </c>
      <c r="H178" s="15">
        <v>0</v>
      </c>
      <c r="I178" s="15">
        <f t="shared" si="136"/>
        <v>0</v>
      </c>
      <c r="J178" s="15">
        <f t="shared" si="137"/>
        <v>0</v>
      </c>
      <c r="K178" s="15">
        <f t="shared" si="138"/>
        <v>0</v>
      </c>
      <c r="L178" s="26" t="s">
        <v>476</v>
      </c>
      <c r="Z178" s="31">
        <f t="shared" si="139"/>
        <v>0</v>
      </c>
      <c r="AB178" s="31">
        <f t="shared" si="140"/>
        <v>0</v>
      </c>
      <c r="AC178" s="31">
        <f t="shared" si="141"/>
        <v>0</v>
      </c>
      <c r="AD178" s="31">
        <f t="shared" si="142"/>
        <v>0</v>
      </c>
      <c r="AE178" s="31">
        <f t="shared" si="143"/>
        <v>0</v>
      </c>
      <c r="AF178" s="31">
        <f t="shared" si="144"/>
        <v>0</v>
      </c>
      <c r="AG178" s="31">
        <f t="shared" si="145"/>
        <v>0</v>
      </c>
      <c r="AH178" s="31">
        <f t="shared" si="146"/>
        <v>0</v>
      </c>
      <c r="AI178" s="25" t="s">
        <v>487</v>
      </c>
      <c r="AJ178" s="15">
        <f t="shared" si="147"/>
        <v>0</v>
      </c>
      <c r="AK178" s="15">
        <f t="shared" si="148"/>
        <v>0</v>
      </c>
      <c r="AL178" s="15">
        <f t="shared" si="149"/>
        <v>0</v>
      </c>
      <c r="AN178" s="31">
        <v>21</v>
      </c>
      <c r="AO178" s="31">
        <f>H178*0</f>
        <v>0</v>
      </c>
      <c r="AP178" s="31">
        <f>H178*(1-0)</f>
        <v>0</v>
      </c>
      <c r="AQ178" s="26" t="s">
        <v>13</v>
      </c>
      <c r="AV178" s="31">
        <f t="shared" si="150"/>
        <v>0</v>
      </c>
      <c r="AW178" s="31">
        <f t="shared" si="151"/>
        <v>0</v>
      </c>
      <c r="AX178" s="31">
        <f t="shared" si="152"/>
        <v>0</v>
      </c>
      <c r="AY178" s="32" t="s">
        <v>515</v>
      </c>
      <c r="AZ178" s="32" t="s">
        <v>535</v>
      </c>
      <c r="BA178" s="25" t="s">
        <v>541</v>
      </c>
      <c r="BC178" s="31">
        <f t="shared" si="153"/>
        <v>0</v>
      </c>
      <c r="BD178" s="31">
        <f t="shared" si="154"/>
        <v>0</v>
      </c>
      <c r="BE178" s="31">
        <v>0</v>
      </c>
      <c r="BF178" s="31">
        <f>178</f>
        <v>178</v>
      </c>
      <c r="BH178" s="15">
        <f t="shared" si="155"/>
        <v>0</v>
      </c>
      <c r="BI178" s="15">
        <f t="shared" si="156"/>
        <v>0</v>
      </c>
      <c r="BJ178" s="15">
        <f t="shared" si="157"/>
        <v>0</v>
      </c>
    </row>
    <row r="179" spans="1:62" x14ac:dyDescent="0.2">
      <c r="A179" s="5" t="s">
        <v>131</v>
      </c>
      <c r="B179" s="5" t="s">
        <v>271</v>
      </c>
      <c r="C179" s="151" t="s">
        <v>428</v>
      </c>
      <c r="D179" s="152"/>
      <c r="E179" s="152"/>
      <c r="F179" s="5" t="s">
        <v>459</v>
      </c>
      <c r="G179" s="68">
        <v>51.487000000000002</v>
      </c>
      <c r="H179" s="16">
        <v>0</v>
      </c>
      <c r="I179" s="16">
        <f t="shared" si="136"/>
        <v>0</v>
      </c>
      <c r="J179" s="16">
        <f t="shared" si="137"/>
        <v>0</v>
      </c>
      <c r="K179" s="16">
        <f t="shared" si="138"/>
        <v>0</v>
      </c>
      <c r="L179" s="27" t="s">
        <v>476</v>
      </c>
      <c r="Z179" s="31">
        <f t="shared" si="139"/>
        <v>0</v>
      </c>
      <c r="AB179" s="31">
        <f t="shared" si="140"/>
        <v>0</v>
      </c>
      <c r="AC179" s="31">
        <f t="shared" si="141"/>
        <v>0</v>
      </c>
      <c r="AD179" s="31">
        <f t="shared" si="142"/>
        <v>0</v>
      </c>
      <c r="AE179" s="31">
        <f t="shared" si="143"/>
        <v>0</v>
      </c>
      <c r="AF179" s="31">
        <f t="shared" si="144"/>
        <v>0</v>
      </c>
      <c r="AG179" s="31">
        <f t="shared" si="145"/>
        <v>0</v>
      </c>
      <c r="AH179" s="31">
        <f t="shared" si="146"/>
        <v>0</v>
      </c>
      <c r="AI179" s="25" t="s">
        <v>487</v>
      </c>
      <c r="AJ179" s="16">
        <f t="shared" si="147"/>
        <v>0</v>
      </c>
      <c r="AK179" s="16">
        <f t="shared" si="148"/>
        <v>0</v>
      </c>
      <c r="AL179" s="16">
        <f t="shared" si="149"/>
        <v>0</v>
      </c>
      <c r="AN179" s="31">
        <v>21</v>
      </c>
      <c r="AO179" s="31">
        <f>H179*1</f>
        <v>0</v>
      </c>
      <c r="AP179" s="31">
        <f>H179*(1-1)</f>
        <v>0</v>
      </c>
      <c r="AQ179" s="27" t="s">
        <v>13</v>
      </c>
      <c r="AV179" s="31">
        <f t="shared" si="150"/>
        <v>0</v>
      </c>
      <c r="AW179" s="31">
        <f t="shared" si="151"/>
        <v>0</v>
      </c>
      <c r="AX179" s="31">
        <f t="shared" si="152"/>
        <v>0</v>
      </c>
      <c r="AY179" s="32" t="s">
        <v>515</v>
      </c>
      <c r="AZ179" s="32" t="s">
        <v>535</v>
      </c>
      <c r="BA179" s="25" t="s">
        <v>541</v>
      </c>
      <c r="BC179" s="31">
        <f t="shared" si="153"/>
        <v>0</v>
      </c>
      <c r="BD179" s="31">
        <f t="shared" si="154"/>
        <v>0</v>
      </c>
      <c r="BE179" s="31">
        <v>0</v>
      </c>
      <c r="BF179" s="31">
        <f>179</f>
        <v>179</v>
      </c>
      <c r="BH179" s="16">
        <f t="shared" si="155"/>
        <v>0</v>
      </c>
      <c r="BI179" s="16">
        <f t="shared" si="156"/>
        <v>0</v>
      </c>
      <c r="BJ179" s="16">
        <f t="shared" si="157"/>
        <v>0</v>
      </c>
    </row>
    <row r="180" spans="1:62" x14ac:dyDescent="0.2">
      <c r="A180" s="4" t="s">
        <v>132</v>
      </c>
      <c r="B180" s="4" t="s">
        <v>272</v>
      </c>
      <c r="C180" s="136" t="s">
        <v>429</v>
      </c>
      <c r="D180" s="137"/>
      <c r="E180" s="137"/>
      <c r="F180" s="4" t="s">
        <v>459</v>
      </c>
      <c r="G180" s="65">
        <v>49.034999999999997</v>
      </c>
      <c r="H180" s="15">
        <v>0</v>
      </c>
      <c r="I180" s="15">
        <f t="shared" si="136"/>
        <v>0</v>
      </c>
      <c r="J180" s="15">
        <f t="shared" si="137"/>
        <v>0</v>
      </c>
      <c r="K180" s="15">
        <f t="shared" si="138"/>
        <v>0</v>
      </c>
      <c r="L180" s="26" t="s">
        <v>476</v>
      </c>
      <c r="Z180" s="31">
        <f t="shared" si="139"/>
        <v>0</v>
      </c>
      <c r="AB180" s="31">
        <f t="shared" si="140"/>
        <v>0</v>
      </c>
      <c r="AC180" s="31">
        <f t="shared" si="141"/>
        <v>0</v>
      </c>
      <c r="AD180" s="31">
        <f t="shared" si="142"/>
        <v>0</v>
      </c>
      <c r="AE180" s="31">
        <f t="shared" si="143"/>
        <v>0</v>
      </c>
      <c r="AF180" s="31">
        <f t="shared" si="144"/>
        <v>0</v>
      </c>
      <c r="AG180" s="31">
        <f t="shared" si="145"/>
        <v>0</v>
      </c>
      <c r="AH180" s="31">
        <f t="shared" si="146"/>
        <v>0</v>
      </c>
      <c r="AI180" s="25" t="s">
        <v>487</v>
      </c>
      <c r="AJ180" s="15">
        <f t="shared" si="147"/>
        <v>0</v>
      </c>
      <c r="AK180" s="15">
        <f t="shared" si="148"/>
        <v>0</v>
      </c>
      <c r="AL180" s="15">
        <f t="shared" si="149"/>
        <v>0</v>
      </c>
      <c r="AN180" s="31">
        <v>21</v>
      </c>
      <c r="AO180" s="31">
        <f>H180*1.00000082900867</f>
        <v>0</v>
      </c>
      <c r="AP180" s="31">
        <f>H180*(1-1.00000082900867)</f>
        <v>0</v>
      </c>
      <c r="AQ180" s="26" t="s">
        <v>13</v>
      </c>
      <c r="AV180" s="31">
        <f t="shared" si="150"/>
        <v>0</v>
      </c>
      <c r="AW180" s="31">
        <f t="shared" si="151"/>
        <v>0</v>
      </c>
      <c r="AX180" s="31">
        <f t="shared" si="152"/>
        <v>0</v>
      </c>
      <c r="AY180" s="32" t="s">
        <v>515</v>
      </c>
      <c r="AZ180" s="32" t="s">
        <v>535</v>
      </c>
      <c r="BA180" s="25" t="s">
        <v>541</v>
      </c>
      <c r="BC180" s="31">
        <f t="shared" si="153"/>
        <v>0</v>
      </c>
      <c r="BD180" s="31">
        <f t="shared" si="154"/>
        <v>0</v>
      </c>
      <c r="BE180" s="31">
        <v>0</v>
      </c>
      <c r="BF180" s="31">
        <f>180</f>
        <v>180</v>
      </c>
      <c r="BH180" s="15">
        <f t="shared" si="155"/>
        <v>0</v>
      </c>
      <c r="BI180" s="15">
        <f t="shared" si="156"/>
        <v>0</v>
      </c>
      <c r="BJ180" s="15">
        <f t="shared" si="157"/>
        <v>0</v>
      </c>
    </row>
    <row r="181" spans="1:62" x14ac:dyDescent="0.2">
      <c r="A181" s="4" t="s">
        <v>133</v>
      </c>
      <c r="B181" s="4" t="s">
        <v>273</v>
      </c>
      <c r="C181" s="136" t="s">
        <v>430</v>
      </c>
      <c r="D181" s="137"/>
      <c r="E181" s="137"/>
      <c r="F181" s="4" t="s">
        <v>460</v>
      </c>
      <c r="G181" s="65">
        <v>31.35</v>
      </c>
      <c r="H181" s="15">
        <v>0</v>
      </c>
      <c r="I181" s="15">
        <f t="shared" si="136"/>
        <v>0</v>
      </c>
      <c r="J181" s="15">
        <f t="shared" si="137"/>
        <v>0</v>
      </c>
      <c r="K181" s="15">
        <f t="shared" si="138"/>
        <v>0</v>
      </c>
      <c r="L181" s="26" t="s">
        <v>476</v>
      </c>
      <c r="Z181" s="31">
        <f t="shared" si="139"/>
        <v>0</v>
      </c>
      <c r="AB181" s="31">
        <f t="shared" si="140"/>
        <v>0</v>
      </c>
      <c r="AC181" s="31">
        <f t="shared" si="141"/>
        <v>0</v>
      </c>
      <c r="AD181" s="31">
        <f t="shared" si="142"/>
        <v>0</v>
      </c>
      <c r="AE181" s="31">
        <f t="shared" si="143"/>
        <v>0</v>
      </c>
      <c r="AF181" s="31">
        <f t="shared" si="144"/>
        <v>0</v>
      </c>
      <c r="AG181" s="31">
        <f t="shared" si="145"/>
        <v>0</v>
      </c>
      <c r="AH181" s="31">
        <f t="shared" si="146"/>
        <v>0</v>
      </c>
      <c r="AI181" s="25" t="s">
        <v>487</v>
      </c>
      <c r="AJ181" s="15">
        <f t="shared" si="147"/>
        <v>0</v>
      </c>
      <c r="AK181" s="15">
        <f t="shared" si="148"/>
        <v>0</v>
      </c>
      <c r="AL181" s="15">
        <f t="shared" si="149"/>
        <v>0</v>
      </c>
      <c r="AN181" s="31">
        <v>21</v>
      </c>
      <c r="AO181" s="31">
        <f>H181*0</f>
        <v>0</v>
      </c>
      <c r="AP181" s="31">
        <f>H181*(1-0)</f>
        <v>0</v>
      </c>
      <c r="AQ181" s="26" t="s">
        <v>13</v>
      </c>
      <c r="AV181" s="31">
        <f t="shared" si="150"/>
        <v>0</v>
      </c>
      <c r="AW181" s="31">
        <f t="shared" si="151"/>
        <v>0</v>
      </c>
      <c r="AX181" s="31">
        <f t="shared" si="152"/>
        <v>0</v>
      </c>
      <c r="AY181" s="32" t="s">
        <v>515</v>
      </c>
      <c r="AZ181" s="32" t="s">
        <v>535</v>
      </c>
      <c r="BA181" s="25" t="s">
        <v>541</v>
      </c>
      <c r="BC181" s="31">
        <f t="shared" si="153"/>
        <v>0</v>
      </c>
      <c r="BD181" s="31">
        <f t="shared" si="154"/>
        <v>0</v>
      </c>
      <c r="BE181" s="31">
        <v>0</v>
      </c>
      <c r="BF181" s="31">
        <f>181</f>
        <v>181</v>
      </c>
      <c r="BH181" s="15">
        <f t="shared" si="155"/>
        <v>0</v>
      </c>
      <c r="BI181" s="15">
        <f t="shared" si="156"/>
        <v>0</v>
      </c>
      <c r="BJ181" s="15">
        <f t="shared" si="157"/>
        <v>0</v>
      </c>
    </row>
    <row r="182" spans="1:62" x14ac:dyDescent="0.2">
      <c r="A182" s="5" t="s">
        <v>134</v>
      </c>
      <c r="B182" s="5" t="s">
        <v>274</v>
      </c>
      <c r="C182" s="151" t="s">
        <v>431</v>
      </c>
      <c r="D182" s="152"/>
      <c r="E182" s="152"/>
      <c r="F182" s="5" t="s">
        <v>460</v>
      </c>
      <c r="G182" s="68">
        <v>25.684999999999999</v>
      </c>
      <c r="H182" s="16">
        <v>0</v>
      </c>
      <c r="I182" s="16">
        <f t="shared" si="136"/>
        <v>0</v>
      </c>
      <c r="J182" s="16">
        <f t="shared" si="137"/>
        <v>0</v>
      </c>
      <c r="K182" s="16">
        <f t="shared" si="138"/>
        <v>0</v>
      </c>
      <c r="L182" s="27" t="s">
        <v>476</v>
      </c>
      <c r="Z182" s="31">
        <f t="shared" si="139"/>
        <v>0</v>
      </c>
      <c r="AB182" s="31">
        <f t="shared" si="140"/>
        <v>0</v>
      </c>
      <c r="AC182" s="31">
        <f t="shared" si="141"/>
        <v>0</v>
      </c>
      <c r="AD182" s="31">
        <f t="shared" si="142"/>
        <v>0</v>
      </c>
      <c r="AE182" s="31">
        <f t="shared" si="143"/>
        <v>0</v>
      </c>
      <c r="AF182" s="31">
        <f t="shared" si="144"/>
        <v>0</v>
      </c>
      <c r="AG182" s="31">
        <f t="shared" si="145"/>
        <v>0</v>
      </c>
      <c r="AH182" s="31">
        <f t="shared" si="146"/>
        <v>0</v>
      </c>
      <c r="AI182" s="25" t="s">
        <v>487</v>
      </c>
      <c r="AJ182" s="16">
        <f t="shared" si="147"/>
        <v>0</v>
      </c>
      <c r="AK182" s="16">
        <f t="shared" si="148"/>
        <v>0</v>
      </c>
      <c r="AL182" s="16">
        <f t="shared" si="149"/>
        <v>0</v>
      </c>
      <c r="AN182" s="31">
        <v>21</v>
      </c>
      <c r="AO182" s="31">
        <f>H182*1</f>
        <v>0</v>
      </c>
      <c r="AP182" s="31">
        <f>H182*(1-1)</f>
        <v>0</v>
      </c>
      <c r="AQ182" s="27" t="s">
        <v>13</v>
      </c>
      <c r="AV182" s="31">
        <f t="shared" si="150"/>
        <v>0</v>
      </c>
      <c r="AW182" s="31">
        <f t="shared" si="151"/>
        <v>0</v>
      </c>
      <c r="AX182" s="31">
        <f t="shared" si="152"/>
        <v>0</v>
      </c>
      <c r="AY182" s="32" t="s">
        <v>515</v>
      </c>
      <c r="AZ182" s="32" t="s">
        <v>535</v>
      </c>
      <c r="BA182" s="25" t="s">
        <v>541</v>
      </c>
      <c r="BC182" s="31">
        <f t="shared" si="153"/>
        <v>0</v>
      </c>
      <c r="BD182" s="31">
        <f t="shared" si="154"/>
        <v>0</v>
      </c>
      <c r="BE182" s="31">
        <v>0</v>
      </c>
      <c r="BF182" s="31">
        <f>182</f>
        <v>182</v>
      </c>
      <c r="BH182" s="16">
        <f t="shared" si="155"/>
        <v>0</v>
      </c>
      <c r="BI182" s="16">
        <f t="shared" si="156"/>
        <v>0</v>
      </c>
      <c r="BJ182" s="16">
        <f t="shared" si="157"/>
        <v>0</v>
      </c>
    </row>
    <row r="183" spans="1:62" x14ac:dyDescent="0.2">
      <c r="A183" s="5" t="s">
        <v>135</v>
      </c>
      <c r="B183" s="5" t="s">
        <v>275</v>
      </c>
      <c r="C183" s="151" t="s">
        <v>432</v>
      </c>
      <c r="D183" s="152"/>
      <c r="E183" s="152"/>
      <c r="F183" s="5" t="s">
        <v>460</v>
      </c>
      <c r="G183" s="68">
        <v>8.8000000000000007</v>
      </c>
      <c r="H183" s="16">
        <v>0</v>
      </c>
      <c r="I183" s="16">
        <f t="shared" si="136"/>
        <v>0</v>
      </c>
      <c r="J183" s="16">
        <f t="shared" si="137"/>
        <v>0</v>
      </c>
      <c r="K183" s="16">
        <f t="shared" si="138"/>
        <v>0</v>
      </c>
      <c r="L183" s="27" t="s">
        <v>476</v>
      </c>
      <c r="Z183" s="31">
        <f t="shared" si="139"/>
        <v>0</v>
      </c>
      <c r="AB183" s="31">
        <f t="shared" si="140"/>
        <v>0</v>
      </c>
      <c r="AC183" s="31">
        <f t="shared" si="141"/>
        <v>0</v>
      </c>
      <c r="AD183" s="31">
        <f t="shared" si="142"/>
        <v>0</v>
      </c>
      <c r="AE183" s="31">
        <f t="shared" si="143"/>
        <v>0</v>
      </c>
      <c r="AF183" s="31">
        <f t="shared" si="144"/>
        <v>0</v>
      </c>
      <c r="AG183" s="31">
        <f t="shared" si="145"/>
        <v>0</v>
      </c>
      <c r="AH183" s="31">
        <f t="shared" si="146"/>
        <v>0</v>
      </c>
      <c r="AI183" s="25" t="s">
        <v>487</v>
      </c>
      <c r="AJ183" s="16">
        <f t="shared" si="147"/>
        <v>0</v>
      </c>
      <c r="AK183" s="16">
        <f t="shared" si="148"/>
        <v>0</v>
      </c>
      <c r="AL183" s="16">
        <f t="shared" si="149"/>
        <v>0</v>
      </c>
      <c r="AN183" s="31">
        <v>21</v>
      </c>
      <c r="AO183" s="31">
        <f>H183*1</f>
        <v>0</v>
      </c>
      <c r="AP183" s="31">
        <f>H183*(1-1)</f>
        <v>0</v>
      </c>
      <c r="AQ183" s="27" t="s">
        <v>13</v>
      </c>
      <c r="AV183" s="31">
        <f t="shared" si="150"/>
        <v>0</v>
      </c>
      <c r="AW183" s="31">
        <f t="shared" si="151"/>
        <v>0</v>
      </c>
      <c r="AX183" s="31">
        <f t="shared" si="152"/>
        <v>0</v>
      </c>
      <c r="AY183" s="32" t="s">
        <v>515</v>
      </c>
      <c r="AZ183" s="32" t="s">
        <v>535</v>
      </c>
      <c r="BA183" s="25" t="s">
        <v>541</v>
      </c>
      <c r="BC183" s="31">
        <f t="shared" si="153"/>
        <v>0</v>
      </c>
      <c r="BD183" s="31">
        <f t="shared" si="154"/>
        <v>0</v>
      </c>
      <c r="BE183" s="31">
        <v>0</v>
      </c>
      <c r="BF183" s="31">
        <f>183</f>
        <v>183</v>
      </c>
      <c r="BH183" s="16">
        <f t="shared" si="155"/>
        <v>0</v>
      </c>
      <c r="BI183" s="16">
        <f t="shared" si="156"/>
        <v>0</v>
      </c>
      <c r="BJ183" s="16">
        <f t="shared" si="157"/>
        <v>0</v>
      </c>
    </row>
    <row r="184" spans="1:62" x14ac:dyDescent="0.2">
      <c r="A184" s="4" t="s">
        <v>136</v>
      </c>
      <c r="B184" s="4" t="s">
        <v>276</v>
      </c>
      <c r="C184" s="136" t="s">
        <v>433</v>
      </c>
      <c r="D184" s="137"/>
      <c r="E184" s="137"/>
      <c r="F184" s="4" t="s">
        <v>458</v>
      </c>
      <c r="G184" s="65">
        <v>0.67900000000000005</v>
      </c>
      <c r="H184" s="15">
        <v>0</v>
      </c>
      <c r="I184" s="15">
        <f t="shared" si="136"/>
        <v>0</v>
      </c>
      <c r="J184" s="15">
        <f t="shared" si="137"/>
        <v>0</v>
      </c>
      <c r="K184" s="15">
        <f t="shared" si="138"/>
        <v>0</v>
      </c>
      <c r="L184" s="26" t="s">
        <v>476</v>
      </c>
      <c r="Z184" s="31">
        <f t="shared" si="139"/>
        <v>0</v>
      </c>
      <c r="AB184" s="31">
        <f t="shared" si="140"/>
        <v>0</v>
      </c>
      <c r="AC184" s="31">
        <f t="shared" si="141"/>
        <v>0</v>
      </c>
      <c r="AD184" s="31">
        <f t="shared" si="142"/>
        <v>0</v>
      </c>
      <c r="AE184" s="31">
        <f t="shared" si="143"/>
        <v>0</v>
      </c>
      <c r="AF184" s="31">
        <f t="shared" si="144"/>
        <v>0</v>
      </c>
      <c r="AG184" s="31">
        <f t="shared" si="145"/>
        <v>0</v>
      </c>
      <c r="AH184" s="31">
        <f t="shared" si="146"/>
        <v>0</v>
      </c>
      <c r="AI184" s="25" t="s">
        <v>487</v>
      </c>
      <c r="AJ184" s="15">
        <f t="shared" si="147"/>
        <v>0</v>
      </c>
      <c r="AK184" s="15">
        <f t="shared" si="148"/>
        <v>0</v>
      </c>
      <c r="AL184" s="15">
        <f t="shared" si="149"/>
        <v>0</v>
      </c>
      <c r="AN184" s="31">
        <v>21</v>
      </c>
      <c r="AO184" s="31">
        <f>H184*0</f>
        <v>0</v>
      </c>
      <c r="AP184" s="31">
        <f>H184*(1-0)</f>
        <v>0</v>
      </c>
      <c r="AQ184" s="26" t="s">
        <v>11</v>
      </c>
      <c r="AV184" s="31">
        <f t="shared" si="150"/>
        <v>0</v>
      </c>
      <c r="AW184" s="31">
        <f t="shared" si="151"/>
        <v>0</v>
      </c>
      <c r="AX184" s="31">
        <f t="shared" si="152"/>
        <v>0</v>
      </c>
      <c r="AY184" s="32" t="s">
        <v>515</v>
      </c>
      <c r="AZ184" s="32" t="s">
        <v>535</v>
      </c>
      <c r="BA184" s="25" t="s">
        <v>541</v>
      </c>
      <c r="BC184" s="31">
        <f t="shared" si="153"/>
        <v>0</v>
      </c>
      <c r="BD184" s="31">
        <f t="shared" si="154"/>
        <v>0</v>
      </c>
      <c r="BE184" s="31">
        <v>0</v>
      </c>
      <c r="BF184" s="31">
        <f>184</f>
        <v>184</v>
      </c>
      <c r="BH184" s="15">
        <f t="shared" si="155"/>
        <v>0</v>
      </c>
      <c r="BI184" s="15">
        <f t="shared" si="156"/>
        <v>0</v>
      </c>
      <c r="BJ184" s="15">
        <f t="shared" si="157"/>
        <v>0</v>
      </c>
    </row>
    <row r="185" spans="1:62" x14ac:dyDescent="0.2">
      <c r="A185" s="75"/>
      <c r="B185" s="76"/>
      <c r="C185" s="153" t="s">
        <v>434</v>
      </c>
      <c r="D185" s="154"/>
      <c r="E185" s="154"/>
      <c r="F185" s="75" t="s">
        <v>6</v>
      </c>
      <c r="G185" s="75" t="s">
        <v>6</v>
      </c>
      <c r="H185" s="75" t="s">
        <v>6</v>
      </c>
      <c r="I185" s="77">
        <f>I186+I191+I195+I198+I206+I208</f>
        <v>0</v>
      </c>
      <c r="J185" s="77">
        <f>J186+J191+J195+J198+J206+J208</f>
        <v>0</v>
      </c>
      <c r="K185" s="77">
        <f>K186+K191+K195+K198+K206+K208</f>
        <v>0</v>
      </c>
      <c r="L185" s="78"/>
    </row>
    <row r="186" spans="1:62" x14ac:dyDescent="0.2">
      <c r="A186" s="3"/>
      <c r="B186" s="11" t="s">
        <v>66</v>
      </c>
      <c r="C186" s="134" t="s">
        <v>316</v>
      </c>
      <c r="D186" s="135"/>
      <c r="E186" s="135"/>
      <c r="F186" s="3" t="s">
        <v>6</v>
      </c>
      <c r="G186" s="3" t="s">
        <v>6</v>
      </c>
      <c r="H186" s="3" t="s">
        <v>6</v>
      </c>
      <c r="I186" s="33">
        <f>SUM(I187:I190)</f>
        <v>0</v>
      </c>
      <c r="J186" s="33">
        <f>SUM(J187:J190)</f>
        <v>0</v>
      </c>
      <c r="K186" s="33">
        <f>SUM(K187:K190)</f>
        <v>0</v>
      </c>
      <c r="L186" s="25"/>
      <c r="AI186" s="25" t="s">
        <v>488</v>
      </c>
      <c r="AS186" s="33">
        <f>SUM(AJ187:AJ190)</f>
        <v>0</v>
      </c>
      <c r="AT186" s="33">
        <f>SUM(AK187:AK190)</f>
        <v>0</v>
      </c>
      <c r="AU186" s="33">
        <f>SUM(AL187:AL190)</f>
        <v>0</v>
      </c>
    </row>
    <row r="187" spans="1:62" x14ac:dyDescent="0.2">
      <c r="A187" s="4" t="s">
        <v>137</v>
      </c>
      <c r="B187" s="4" t="s">
        <v>181</v>
      </c>
      <c r="C187" s="136" t="s">
        <v>435</v>
      </c>
      <c r="D187" s="137"/>
      <c r="E187" s="137"/>
      <c r="F187" s="4" t="s">
        <v>459</v>
      </c>
      <c r="G187" s="65">
        <v>385.22500000000002</v>
      </c>
      <c r="H187" s="15">
        <v>0</v>
      </c>
      <c r="I187" s="15">
        <f>G187*AO187</f>
        <v>0</v>
      </c>
      <c r="J187" s="15">
        <f>G187*AP187</f>
        <v>0</v>
      </c>
      <c r="K187" s="15">
        <f>G187*H187</f>
        <v>0</v>
      </c>
      <c r="L187" s="26" t="s">
        <v>476</v>
      </c>
      <c r="Z187" s="31">
        <f>IF(AQ187="5",BJ187,0)</f>
        <v>0</v>
      </c>
      <c r="AB187" s="31">
        <f>IF(AQ187="1",BH187,0)</f>
        <v>0</v>
      </c>
      <c r="AC187" s="31">
        <f>IF(AQ187="1",BI187,0)</f>
        <v>0</v>
      </c>
      <c r="AD187" s="31">
        <f>IF(AQ187="7",BH187,0)</f>
        <v>0</v>
      </c>
      <c r="AE187" s="31">
        <f>IF(AQ187="7",BI187,0)</f>
        <v>0</v>
      </c>
      <c r="AF187" s="31">
        <f>IF(AQ187="2",BH187,0)</f>
        <v>0</v>
      </c>
      <c r="AG187" s="31">
        <f>IF(AQ187="2",BI187,0)</f>
        <v>0</v>
      </c>
      <c r="AH187" s="31">
        <f>IF(AQ187="0",BJ187,0)</f>
        <v>0</v>
      </c>
      <c r="AI187" s="25" t="s">
        <v>488</v>
      </c>
      <c r="AJ187" s="15">
        <f>IF(AN187=0,K187,0)</f>
        <v>0</v>
      </c>
      <c r="AK187" s="15">
        <f>IF(AN187=15,K187,0)</f>
        <v>0</v>
      </c>
      <c r="AL187" s="15">
        <f>IF(AN187=21,K187,0)</f>
        <v>0</v>
      </c>
      <c r="AN187" s="31">
        <v>21</v>
      </c>
      <c r="AO187" s="31">
        <f>H187*0.513642155478716</f>
        <v>0</v>
      </c>
      <c r="AP187" s="31">
        <f>H187*(1-0.513642155478716)</f>
        <v>0</v>
      </c>
      <c r="AQ187" s="26" t="s">
        <v>7</v>
      </c>
      <c r="AV187" s="31">
        <f>AW187+AX187</f>
        <v>0</v>
      </c>
      <c r="AW187" s="31">
        <f>G187*AO187</f>
        <v>0</v>
      </c>
      <c r="AX187" s="31">
        <f>G187*AP187</f>
        <v>0</v>
      </c>
      <c r="AY187" s="32" t="s">
        <v>498</v>
      </c>
      <c r="AZ187" s="32" t="s">
        <v>536</v>
      </c>
      <c r="BA187" s="25" t="s">
        <v>542</v>
      </c>
      <c r="BC187" s="31">
        <f>AW187+AX187</f>
        <v>0</v>
      </c>
      <c r="BD187" s="31">
        <f>H187/(100-BE187)*100</f>
        <v>0</v>
      </c>
      <c r="BE187" s="31">
        <v>0</v>
      </c>
      <c r="BF187" s="31">
        <f>187</f>
        <v>187</v>
      </c>
      <c r="BH187" s="15">
        <f>G187*AO187</f>
        <v>0</v>
      </c>
      <c r="BI187" s="15">
        <f>G187*AP187</f>
        <v>0</v>
      </c>
      <c r="BJ187" s="15">
        <f>G187*H187</f>
        <v>0</v>
      </c>
    </row>
    <row r="188" spans="1:62" x14ac:dyDescent="0.2">
      <c r="A188" s="4" t="s">
        <v>138</v>
      </c>
      <c r="B188" s="4" t="s">
        <v>182</v>
      </c>
      <c r="C188" s="136" t="s">
        <v>436</v>
      </c>
      <c r="D188" s="137"/>
      <c r="E188" s="137"/>
      <c r="F188" s="4" t="s">
        <v>459</v>
      </c>
      <c r="G188" s="65">
        <v>385.22500000000002</v>
      </c>
      <c r="H188" s="15">
        <v>0</v>
      </c>
      <c r="I188" s="15">
        <f>G188*AO188</f>
        <v>0</v>
      </c>
      <c r="J188" s="15">
        <f>G188*AP188</f>
        <v>0</v>
      </c>
      <c r="K188" s="15">
        <f>G188*H188</f>
        <v>0</v>
      </c>
      <c r="L188" s="26" t="s">
        <v>476</v>
      </c>
      <c r="Z188" s="31">
        <f>IF(AQ188="5",BJ188,0)</f>
        <v>0</v>
      </c>
      <c r="AB188" s="31">
        <f>IF(AQ188="1",BH188,0)</f>
        <v>0</v>
      </c>
      <c r="AC188" s="31">
        <f>IF(AQ188="1",BI188,0)</f>
        <v>0</v>
      </c>
      <c r="AD188" s="31">
        <f>IF(AQ188="7",BH188,0)</f>
        <v>0</v>
      </c>
      <c r="AE188" s="31">
        <f>IF(AQ188="7",BI188,0)</f>
        <v>0</v>
      </c>
      <c r="AF188" s="31">
        <f>IF(AQ188="2",BH188,0)</f>
        <v>0</v>
      </c>
      <c r="AG188" s="31">
        <f>IF(AQ188="2",BI188,0)</f>
        <v>0</v>
      </c>
      <c r="AH188" s="31">
        <f>IF(AQ188="0",BJ188,0)</f>
        <v>0</v>
      </c>
      <c r="AI188" s="25" t="s">
        <v>488</v>
      </c>
      <c r="AJ188" s="15">
        <f>IF(AN188=0,K188,0)</f>
        <v>0</v>
      </c>
      <c r="AK188" s="15">
        <f>IF(AN188=15,K188,0)</f>
        <v>0</v>
      </c>
      <c r="AL188" s="15">
        <f>IF(AN188=21,K188,0)</f>
        <v>0</v>
      </c>
      <c r="AN188" s="31">
        <v>21</v>
      </c>
      <c r="AO188" s="31">
        <f>H188*0.339925333259996</f>
        <v>0</v>
      </c>
      <c r="AP188" s="31">
        <f>H188*(1-0.339925333259996)</f>
        <v>0</v>
      </c>
      <c r="AQ188" s="26" t="s">
        <v>7</v>
      </c>
      <c r="AV188" s="31">
        <f>AW188+AX188</f>
        <v>0</v>
      </c>
      <c r="AW188" s="31">
        <f>G188*AO188</f>
        <v>0</v>
      </c>
      <c r="AX188" s="31">
        <f>G188*AP188</f>
        <v>0</v>
      </c>
      <c r="AY188" s="32" t="s">
        <v>498</v>
      </c>
      <c r="AZ188" s="32" t="s">
        <v>536</v>
      </c>
      <c r="BA188" s="25" t="s">
        <v>542</v>
      </c>
      <c r="BC188" s="31">
        <f>AW188+AX188</f>
        <v>0</v>
      </c>
      <c r="BD188" s="31">
        <f>H188/(100-BE188)*100</f>
        <v>0</v>
      </c>
      <c r="BE188" s="31">
        <v>0</v>
      </c>
      <c r="BF188" s="31">
        <f>188</f>
        <v>188</v>
      </c>
      <c r="BH188" s="15">
        <f>G188*AO188</f>
        <v>0</v>
      </c>
      <c r="BI188" s="15">
        <f>G188*AP188</f>
        <v>0</v>
      </c>
      <c r="BJ188" s="15">
        <f>G188*H188</f>
        <v>0</v>
      </c>
    </row>
    <row r="189" spans="1:62" x14ac:dyDescent="0.2">
      <c r="A189" s="4" t="s">
        <v>139</v>
      </c>
      <c r="B189" s="4" t="s">
        <v>183</v>
      </c>
      <c r="C189" s="136" t="s">
        <v>437</v>
      </c>
      <c r="D189" s="137"/>
      <c r="E189" s="137"/>
      <c r="F189" s="4" t="s">
        <v>459</v>
      </c>
      <c r="G189" s="65">
        <v>385.22500000000002</v>
      </c>
      <c r="H189" s="15">
        <v>0</v>
      </c>
      <c r="I189" s="15">
        <f>G189*AO189</f>
        <v>0</v>
      </c>
      <c r="J189" s="15">
        <f>G189*AP189</f>
        <v>0</v>
      </c>
      <c r="K189" s="15">
        <f>G189*H189</f>
        <v>0</v>
      </c>
      <c r="L189" s="26" t="s">
        <v>476</v>
      </c>
      <c r="Z189" s="31">
        <f>IF(AQ189="5",BJ189,0)</f>
        <v>0</v>
      </c>
      <c r="AB189" s="31">
        <f>IF(AQ189="1",BH189,0)</f>
        <v>0</v>
      </c>
      <c r="AC189" s="31">
        <f>IF(AQ189="1",BI189,0)</f>
        <v>0</v>
      </c>
      <c r="AD189" s="31">
        <f>IF(AQ189="7",BH189,0)</f>
        <v>0</v>
      </c>
      <c r="AE189" s="31">
        <f>IF(AQ189="7",BI189,0)</f>
        <v>0</v>
      </c>
      <c r="AF189" s="31">
        <f>IF(AQ189="2",BH189,0)</f>
        <v>0</v>
      </c>
      <c r="AG189" s="31">
        <f>IF(AQ189="2",BI189,0)</f>
        <v>0</v>
      </c>
      <c r="AH189" s="31">
        <f>IF(AQ189="0",BJ189,0)</f>
        <v>0</v>
      </c>
      <c r="AI189" s="25" t="s">
        <v>488</v>
      </c>
      <c r="AJ189" s="15">
        <f>IF(AN189=0,K189,0)</f>
        <v>0</v>
      </c>
      <c r="AK189" s="15">
        <f>IF(AN189=15,K189,0)</f>
        <v>0</v>
      </c>
      <c r="AL189" s="15">
        <f>IF(AN189=21,K189,0)</f>
        <v>0</v>
      </c>
      <c r="AN189" s="31">
        <v>21</v>
      </c>
      <c r="AO189" s="31">
        <f>H189*0.537235634661646</f>
        <v>0</v>
      </c>
      <c r="AP189" s="31">
        <f>H189*(1-0.537235634661646)</f>
        <v>0</v>
      </c>
      <c r="AQ189" s="26" t="s">
        <v>7</v>
      </c>
      <c r="AV189" s="31">
        <f>AW189+AX189</f>
        <v>0</v>
      </c>
      <c r="AW189" s="31">
        <f>G189*AO189</f>
        <v>0</v>
      </c>
      <c r="AX189" s="31">
        <f>G189*AP189</f>
        <v>0</v>
      </c>
      <c r="AY189" s="32" t="s">
        <v>498</v>
      </c>
      <c r="AZ189" s="32" t="s">
        <v>536</v>
      </c>
      <c r="BA189" s="25" t="s">
        <v>542</v>
      </c>
      <c r="BC189" s="31">
        <f>AW189+AX189</f>
        <v>0</v>
      </c>
      <c r="BD189" s="31">
        <f>H189/(100-BE189)*100</f>
        <v>0</v>
      </c>
      <c r="BE189" s="31">
        <v>0</v>
      </c>
      <c r="BF189" s="31">
        <f>189</f>
        <v>189</v>
      </c>
      <c r="BH189" s="15">
        <f>G189*AO189</f>
        <v>0</v>
      </c>
      <c r="BI189" s="15">
        <f>G189*AP189</f>
        <v>0</v>
      </c>
      <c r="BJ189" s="15">
        <f>G189*H189</f>
        <v>0</v>
      </c>
    </row>
    <row r="190" spans="1:62" x14ac:dyDescent="0.2">
      <c r="A190" s="4" t="s">
        <v>140</v>
      </c>
      <c r="B190" s="4" t="s">
        <v>184</v>
      </c>
      <c r="C190" s="136" t="s">
        <v>438</v>
      </c>
      <c r="D190" s="137"/>
      <c r="E190" s="137"/>
      <c r="F190" s="4" t="s">
        <v>459</v>
      </c>
      <c r="G190" s="65">
        <v>385.22500000000002</v>
      </c>
      <c r="H190" s="15">
        <v>0</v>
      </c>
      <c r="I190" s="15">
        <f>G190*AO190</f>
        <v>0</v>
      </c>
      <c r="J190" s="15">
        <f>G190*AP190</f>
        <v>0</v>
      </c>
      <c r="K190" s="15">
        <f>G190*H190</f>
        <v>0</v>
      </c>
      <c r="L190" s="26" t="s">
        <v>476</v>
      </c>
      <c r="Z190" s="31">
        <f>IF(AQ190="5",BJ190,0)</f>
        <v>0</v>
      </c>
      <c r="AB190" s="31">
        <f>IF(AQ190="1",BH190,0)</f>
        <v>0</v>
      </c>
      <c r="AC190" s="31">
        <f>IF(AQ190="1",BI190,0)</f>
        <v>0</v>
      </c>
      <c r="AD190" s="31">
        <f>IF(AQ190="7",BH190,0)</f>
        <v>0</v>
      </c>
      <c r="AE190" s="31">
        <f>IF(AQ190="7",BI190,0)</f>
        <v>0</v>
      </c>
      <c r="AF190" s="31">
        <f>IF(AQ190="2",BH190,0)</f>
        <v>0</v>
      </c>
      <c r="AG190" s="31">
        <f>IF(AQ190="2",BI190,0)</f>
        <v>0</v>
      </c>
      <c r="AH190" s="31">
        <f>IF(AQ190="0",BJ190,0)</f>
        <v>0</v>
      </c>
      <c r="AI190" s="25" t="s">
        <v>488</v>
      </c>
      <c r="AJ190" s="15">
        <f>IF(AN190=0,K190,0)</f>
        <v>0</v>
      </c>
      <c r="AK190" s="15">
        <f>IF(AN190=15,K190,0)</f>
        <v>0</v>
      </c>
      <c r="AL190" s="15">
        <f>IF(AN190=21,K190,0)</f>
        <v>0</v>
      </c>
      <c r="AN190" s="31">
        <v>21</v>
      </c>
      <c r="AO190" s="31">
        <f>H190*0.214037746332405</f>
        <v>0</v>
      </c>
      <c r="AP190" s="31">
        <f>H190*(1-0.214037746332405)</f>
        <v>0</v>
      </c>
      <c r="AQ190" s="26" t="s">
        <v>7</v>
      </c>
      <c r="AV190" s="31">
        <f>AW190+AX190</f>
        <v>0</v>
      </c>
      <c r="AW190" s="31">
        <f>G190*AO190</f>
        <v>0</v>
      </c>
      <c r="AX190" s="31">
        <f>G190*AP190</f>
        <v>0</v>
      </c>
      <c r="AY190" s="32" t="s">
        <v>498</v>
      </c>
      <c r="AZ190" s="32" t="s">
        <v>536</v>
      </c>
      <c r="BA190" s="25" t="s">
        <v>542</v>
      </c>
      <c r="BC190" s="31">
        <f>AW190+AX190</f>
        <v>0</v>
      </c>
      <c r="BD190" s="31">
        <f>H190/(100-BE190)*100</f>
        <v>0</v>
      </c>
      <c r="BE190" s="31">
        <v>0</v>
      </c>
      <c r="BF190" s="31">
        <f>190</f>
        <v>190</v>
      </c>
      <c r="BH190" s="15">
        <f>G190*AO190</f>
        <v>0</v>
      </c>
      <c r="BI190" s="15">
        <f>G190*AP190</f>
        <v>0</v>
      </c>
      <c r="BJ190" s="15">
        <f>G190*H190</f>
        <v>0</v>
      </c>
    </row>
    <row r="191" spans="1:62" x14ac:dyDescent="0.2">
      <c r="A191" s="3"/>
      <c r="B191" s="11" t="s">
        <v>100</v>
      </c>
      <c r="C191" s="134" t="s">
        <v>330</v>
      </c>
      <c r="D191" s="135"/>
      <c r="E191" s="135"/>
      <c r="F191" s="3" t="s">
        <v>6</v>
      </c>
      <c r="G191" s="3" t="s">
        <v>6</v>
      </c>
      <c r="H191" s="3" t="s">
        <v>6</v>
      </c>
      <c r="I191" s="33">
        <f>SUM(I192:I194)</f>
        <v>0</v>
      </c>
      <c r="J191" s="33">
        <f>SUM(J192:J194)</f>
        <v>0</v>
      </c>
      <c r="K191" s="33">
        <f>SUM(K192:K194)</f>
        <v>0</v>
      </c>
      <c r="L191" s="25"/>
      <c r="AI191" s="25" t="s">
        <v>488</v>
      </c>
      <c r="AS191" s="33">
        <f>SUM(AJ192:AJ194)</f>
        <v>0</v>
      </c>
      <c r="AT191" s="33">
        <f>SUM(AK192:AK194)</f>
        <v>0</v>
      </c>
      <c r="AU191" s="33">
        <f>SUM(AL192:AL194)</f>
        <v>0</v>
      </c>
    </row>
    <row r="192" spans="1:62" x14ac:dyDescent="0.2">
      <c r="A192" s="4" t="s">
        <v>141</v>
      </c>
      <c r="B192" s="4" t="s">
        <v>191</v>
      </c>
      <c r="C192" s="136" t="s">
        <v>331</v>
      </c>
      <c r="D192" s="137"/>
      <c r="E192" s="137"/>
      <c r="F192" s="4" t="s">
        <v>459</v>
      </c>
      <c r="G192" s="65">
        <v>63.2</v>
      </c>
      <c r="H192" s="15">
        <v>0</v>
      </c>
      <c r="I192" s="15">
        <f>G192*AO192</f>
        <v>0</v>
      </c>
      <c r="J192" s="15">
        <f>G192*AP192</f>
        <v>0</v>
      </c>
      <c r="K192" s="15">
        <f>G192*H192</f>
        <v>0</v>
      </c>
      <c r="L192" s="26" t="s">
        <v>476</v>
      </c>
      <c r="Z192" s="31">
        <f>IF(AQ192="5",BJ192,0)</f>
        <v>0</v>
      </c>
      <c r="AB192" s="31">
        <f>IF(AQ192="1",BH192,0)</f>
        <v>0</v>
      </c>
      <c r="AC192" s="31">
        <f>IF(AQ192="1",BI192,0)</f>
        <v>0</v>
      </c>
      <c r="AD192" s="31">
        <f>IF(AQ192="7",BH192,0)</f>
        <v>0</v>
      </c>
      <c r="AE192" s="31">
        <f>IF(AQ192="7",BI192,0)</f>
        <v>0</v>
      </c>
      <c r="AF192" s="31">
        <f>IF(AQ192="2",BH192,0)</f>
        <v>0</v>
      </c>
      <c r="AG192" s="31">
        <f>IF(AQ192="2",BI192,0)</f>
        <v>0</v>
      </c>
      <c r="AH192" s="31">
        <f>IF(AQ192="0",BJ192,0)</f>
        <v>0</v>
      </c>
      <c r="AI192" s="25" t="s">
        <v>488</v>
      </c>
      <c r="AJ192" s="15">
        <f>IF(AN192=0,K192,0)</f>
        <v>0</v>
      </c>
      <c r="AK192" s="15">
        <f>IF(AN192=15,K192,0)</f>
        <v>0</v>
      </c>
      <c r="AL192" s="15">
        <f>IF(AN192=21,K192,0)</f>
        <v>0</v>
      </c>
      <c r="AN192" s="31">
        <v>21</v>
      </c>
      <c r="AO192" s="31">
        <f>H192*0.346789667896679</f>
        <v>0</v>
      </c>
      <c r="AP192" s="31">
        <f>H192*(1-0.346789667896679)</f>
        <v>0</v>
      </c>
      <c r="AQ192" s="26" t="s">
        <v>7</v>
      </c>
      <c r="AV192" s="31">
        <f>AW192+AX192</f>
        <v>0</v>
      </c>
      <c r="AW192" s="31">
        <f>G192*AO192</f>
        <v>0</v>
      </c>
      <c r="AX192" s="31">
        <f>G192*AP192</f>
        <v>0</v>
      </c>
      <c r="AY192" s="32" t="s">
        <v>502</v>
      </c>
      <c r="AZ192" s="32" t="s">
        <v>537</v>
      </c>
      <c r="BA192" s="25" t="s">
        <v>542</v>
      </c>
      <c r="BC192" s="31">
        <f>AW192+AX192</f>
        <v>0</v>
      </c>
      <c r="BD192" s="31">
        <f>H192/(100-BE192)*100</f>
        <v>0</v>
      </c>
      <c r="BE192" s="31">
        <v>0</v>
      </c>
      <c r="BF192" s="31">
        <f>192</f>
        <v>192</v>
      </c>
      <c r="BH192" s="15">
        <f>G192*AO192</f>
        <v>0</v>
      </c>
      <c r="BI192" s="15">
        <f>G192*AP192</f>
        <v>0</v>
      </c>
      <c r="BJ192" s="15">
        <f>G192*H192</f>
        <v>0</v>
      </c>
    </row>
    <row r="193" spans="1:62" x14ac:dyDescent="0.2">
      <c r="A193" s="4" t="s">
        <v>142</v>
      </c>
      <c r="B193" s="4" t="s">
        <v>277</v>
      </c>
      <c r="C193" s="136" t="s">
        <v>439</v>
      </c>
      <c r="D193" s="137"/>
      <c r="E193" s="137"/>
      <c r="F193" s="4" t="s">
        <v>459</v>
      </c>
      <c r="G193" s="65">
        <v>31.4</v>
      </c>
      <c r="H193" s="15">
        <v>0</v>
      </c>
      <c r="I193" s="15">
        <f>G193*AO193</f>
        <v>0</v>
      </c>
      <c r="J193" s="15">
        <f>G193*AP193</f>
        <v>0</v>
      </c>
      <c r="K193" s="15">
        <f>G193*H193</f>
        <v>0</v>
      </c>
      <c r="L193" s="26" t="s">
        <v>476</v>
      </c>
      <c r="Z193" s="31">
        <f>IF(AQ193="5",BJ193,0)</f>
        <v>0</v>
      </c>
      <c r="AB193" s="31">
        <f>IF(AQ193="1",BH193,0)</f>
        <v>0</v>
      </c>
      <c r="AC193" s="31">
        <f>IF(AQ193="1",BI193,0)</f>
        <v>0</v>
      </c>
      <c r="AD193" s="31">
        <f>IF(AQ193="7",BH193,0)</f>
        <v>0</v>
      </c>
      <c r="AE193" s="31">
        <f>IF(AQ193="7",BI193,0)</f>
        <v>0</v>
      </c>
      <c r="AF193" s="31">
        <f>IF(AQ193="2",BH193,0)</f>
        <v>0</v>
      </c>
      <c r="AG193" s="31">
        <f>IF(AQ193="2",BI193,0)</f>
        <v>0</v>
      </c>
      <c r="AH193" s="31">
        <f>IF(AQ193="0",BJ193,0)</f>
        <v>0</v>
      </c>
      <c r="AI193" s="25" t="s">
        <v>488</v>
      </c>
      <c r="AJ193" s="15">
        <f>IF(AN193=0,K193,0)</f>
        <v>0</v>
      </c>
      <c r="AK193" s="15">
        <f>IF(AN193=15,K193,0)</f>
        <v>0</v>
      </c>
      <c r="AL193" s="15">
        <f>IF(AN193=21,K193,0)</f>
        <v>0</v>
      </c>
      <c r="AN193" s="31">
        <v>21</v>
      </c>
      <c r="AO193" s="31">
        <f>H193*0.414582599384611</f>
        <v>0</v>
      </c>
      <c r="AP193" s="31">
        <f>H193*(1-0.414582599384611)</f>
        <v>0</v>
      </c>
      <c r="AQ193" s="26" t="s">
        <v>7</v>
      </c>
      <c r="AV193" s="31">
        <f>AW193+AX193</f>
        <v>0</v>
      </c>
      <c r="AW193" s="31">
        <f>G193*AO193</f>
        <v>0</v>
      </c>
      <c r="AX193" s="31">
        <f>G193*AP193</f>
        <v>0</v>
      </c>
      <c r="AY193" s="32" t="s">
        <v>502</v>
      </c>
      <c r="AZ193" s="32" t="s">
        <v>537</v>
      </c>
      <c r="BA193" s="25" t="s">
        <v>542</v>
      </c>
      <c r="BC193" s="31">
        <f>AW193+AX193</f>
        <v>0</v>
      </c>
      <c r="BD193" s="31">
        <f>H193/(100-BE193)*100</f>
        <v>0</v>
      </c>
      <c r="BE193" s="31">
        <v>0</v>
      </c>
      <c r="BF193" s="31">
        <f>193</f>
        <v>193</v>
      </c>
      <c r="BH193" s="15">
        <f>G193*AO193</f>
        <v>0</v>
      </c>
      <c r="BI193" s="15">
        <f>G193*AP193</f>
        <v>0</v>
      </c>
      <c r="BJ193" s="15">
        <f>G193*H193</f>
        <v>0</v>
      </c>
    </row>
    <row r="194" spans="1:62" x14ac:dyDescent="0.2">
      <c r="A194" s="4" t="s">
        <v>143</v>
      </c>
      <c r="B194" s="4" t="s">
        <v>278</v>
      </c>
      <c r="C194" s="136" t="s">
        <v>440</v>
      </c>
      <c r="D194" s="137"/>
      <c r="E194" s="137"/>
      <c r="F194" s="4" t="s">
        <v>459</v>
      </c>
      <c r="G194" s="65">
        <v>15.15</v>
      </c>
      <c r="H194" s="15">
        <v>0</v>
      </c>
      <c r="I194" s="15">
        <f>G194*AO194</f>
        <v>0</v>
      </c>
      <c r="J194" s="15">
        <f>G194*AP194</f>
        <v>0</v>
      </c>
      <c r="K194" s="15">
        <f>G194*H194</f>
        <v>0</v>
      </c>
      <c r="L194" s="26" t="s">
        <v>476</v>
      </c>
      <c r="Z194" s="31">
        <f>IF(AQ194="5",BJ194,0)</f>
        <v>0</v>
      </c>
      <c r="AB194" s="31">
        <f>IF(AQ194="1",BH194,0)</f>
        <v>0</v>
      </c>
      <c r="AC194" s="31">
        <f>IF(AQ194="1",BI194,0)</f>
        <v>0</v>
      </c>
      <c r="AD194" s="31">
        <f>IF(AQ194="7",BH194,0)</f>
        <v>0</v>
      </c>
      <c r="AE194" s="31">
        <f>IF(AQ194="7",BI194,0)</f>
        <v>0</v>
      </c>
      <c r="AF194" s="31">
        <f>IF(AQ194="2",BH194,0)</f>
        <v>0</v>
      </c>
      <c r="AG194" s="31">
        <f>IF(AQ194="2",BI194,0)</f>
        <v>0</v>
      </c>
      <c r="AH194" s="31">
        <f>IF(AQ194="0",BJ194,0)</f>
        <v>0</v>
      </c>
      <c r="AI194" s="25" t="s">
        <v>488</v>
      </c>
      <c r="AJ194" s="15">
        <f>IF(AN194=0,K194,0)</f>
        <v>0</v>
      </c>
      <c r="AK194" s="15">
        <f>IF(AN194=15,K194,0)</f>
        <v>0</v>
      </c>
      <c r="AL194" s="15">
        <f>IF(AN194=21,K194,0)</f>
        <v>0</v>
      </c>
      <c r="AN194" s="31">
        <v>21</v>
      </c>
      <c r="AO194" s="31">
        <f>H194*0.431617600838135</f>
        <v>0</v>
      </c>
      <c r="AP194" s="31">
        <f>H194*(1-0.431617600838135)</f>
        <v>0</v>
      </c>
      <c r="AQ194" s="26" t="s">
        <v>7</v>
      </c>
      <c r="AV194" s="31">
        <f>AW194+AX194</f>
        <v>0</v>
      </c>
      <c r="AW194" s="31">
        <f>G194*AO194</f>
        <v>0</v>
      </c>
      <c r="AX194" s="31">
        <f>G194*AP194</f>
        <v>0</v>
      </c>
      <c r="AY194" s="32" t="s">
        <v>502</v>
      </c>
      <c r="AZ194" s="32" t="s">
        <v>537</v>
      </c>
      <c r="BA194" s="25" t="s">
        <v>542</v>
      </c>
      <c r="BC194" s="31">
        <f>AW194+AX194</f>
        <v>0</v>
      </c>
      <c r="BD194" s="31">
        <f>H194/(100-BE194)*100</f>
        <v>0</v>
      </c>
      <c r="BE194" s="31">
        <v>0</v>
      </c>
      <c r="BF194" s="31">
        <f>194</f>
        <v>194</v>
      </c>
      <c r="BH194" s="15">
        <f>G194*AO194</f>
        <v>0</v>
      </c>
      <c r="BI194" s="15">
        <f>G194*AP194</f>
        <v>0</v>
      </c>
      <c r="BJ194" s="15">
        <f>G194*H194</f>
        <v>0</v>
      </c>
    </row>
    <row r="195" spans="1:62" x14ac:dyDescent="0.2">
      <c r="A195" s="3"/>
      <c r="B195" s="11" t="s">
        <v>103</v>
      </c>
      <c r="C195" s="134" t="s">
        <v>332</v>
      </c>
      <c r="D195" s="135"/>
      <c r="E195" s="135"/>
      <c r="F195" s="3" t="s">
        <v>6</v>
      </c>
      <c r="G195" s="3" t="s">
        <v>6</v>
      </c>
      <c r="H195" s="3" t="s">
        <v>6</v>
      </c>
      <c r="I195" s="33">
        <f>SUM(I196:I197)</f>
        <v>0</v>
      </c>
      <c r="J195" s="33">
        <f>SUM(J196:J197)</f>
        <v>0</v>
      </c>
      <c r="K195" s="33">
        <f>SUM(K196:K197)</f>
        <v>0</v>
      </c>
      <c r="L195" s="25"/>
      <c r="AI195" s="25" t="s">
        <v>488</v>
      </c>
      <c r="AS195" s="33">
        <f>SUM(AJ196:AJ197)</f>
        <v>0</v>
      </c>
      <c r="AT195" s="33">
        <f>SUM(AK196:AK197)</f>
        <v>0</v>
      </c>
      <c r="AU195" s="33">
        <f>SUM(AL196:AL197)</f>
        <v>0</v>
      </c>
    </row>
    <row r="196" spans="1:62" x14ac:dyDescent="0.2">
      <c r="A196" s="4" t="s">
        <v>144</v>
      </c>
      <c r="B196" s="4" t="s">
        <v>192</v>
      </c>
      <c r="C196" s="136" t="s">
        <v>441</v>
      </c>
      <c r="D196" s="137"/>
      <c r="E196" s="137"/>
      <c r="F196" s="4" t="s">
        <v>459</v>
      </c>
      <c r="G196" s="65">
        <v>385.22500000000002</v>
      </c>
      <c r="H196" s="15">
        <v>0</v>
      </c>
      <c r="I196" s="15">
        <f>G196*AO196</f>
        <v>0</v>
      </c>
      <c r="J196" s="15">
        <f>G196*AP196</f>
        <v>0</v>
      </c>
      <c r="K196" s="15">
        <f>G196*H196</f>
        <v>0</v>
      </c>
      <c r="L196" s="26" t="s">
        <v>476</v>
      </c>
      <c r="Z196" s="31">
        <f>IF(AQ196="5",BJ196,0)</f>
        <v>0</v>
      </c>
      <c r="AB196" s="31">
        <f>IF(AQ196="1",BH196,0)</f>
        <v>0</v>
      </c>
      <c r="AC196" s="31">
        <f>IF(AQ196="1",BI196,0)</f>
        <v>0</v>
      </c>
      <c r="AD196" s="31">
        <f>IF(AQ196="7",BH196,0)</f>
        <v>0</v>
      </c>
      <c r="AE196" s="31">
        <f>IF(AQ196="7",BI196,0)</f>
        <v>0</v>
      </c>
      <c r="AF196" s="31">
        <f>IF(AQ196="2",BH196,0)</f>
        <v>0</v>
      </c>
      <c r="AG196" s="31">
        <f>IF(AQ196="2",BI196,0)</f>
        <v>0</v>
      </c>
      <c r="AH196" s="31">
        <f>IF(AQ196="0",BJ196,0)</f>
        <v>0</v>
      </c>
      <c r="AI196" s="25" t="s">
        <v>488</v>
      </c>
      <c r="AJ196" s="15">
        <f>IF(AN196=0,K196,0)</f>
        <v>0</v>
      </c>
      <c r="AK196" s="15">
        <f>IF(AN196=15,K196,0)</f>
        <v>0</v>
      </c>
      <c r="AL196" s="15">
        <f>IF(AN196=21,K196,0)</f>
        <v>0</v>
      </c>
      <c r="AN196" s="31">
        <v>21</v>
      </c>
      <c r="AO196" s="31">
        <f>H196*0</f>
        <v>0</v>
      </c>
      <c r="AP196" s="31">
        <f>H196*(1-0)</f>
        <v>0</v>
      </c>
      <c r="AQ196" s="26" t="s">
        <v>7</v>
      </c>
      <c r="AV196" s="31">
        <f>AW196+AX196</f>
        <v>0</v>
      </c>
      <c r="AW196" s="31">
        <f>G196*AO196</f>
        <v>0</v>
      </c>
      <c r="AX196" s="31">
        <f>G196*AP196</f>
        <v>0</v>
      </c>
      <c r="AY196" s="32" t="s">
        <v>503</v>
      </c>
      <c r="AZ196" s="32" t="s">
        <v>537</v>
      </c>
      <c r="BA196" s="25" t="s">
        <v>542</v>
      </c>
      <c r="BC196" s="31">
        <f>AW196+AX196</f>
        <v>0</v>
      </c>
      <c r="BD196" s="31">
        <f>H196/(100-BE196)*100</f>
        <v>0</v>
      </c>
      <c r="BE196" s="31">
        <v>0</v>
      </c>
      <c r="BF196" s="31">
        <f>196</f>
        <v>196</v>
      </c>
      <c r="BH196" s="15">
        <f>G196*AO196</f>
        <v>0</v>
      </c>
      <c r="BI196" s="15">
        <f>G196*AP196</f>
        <v>0</v>
      </c>
      <c r="BJ196" s="15">
        <f>G196*H196</f>
        <v>0</v>
      </c>
    </row>
    <row r="197" spans="1:62" x14ac:dyDescent="0.2">
      <c r="A197" s="4" t="s">
        <v>145</v>
      </c>
      <c r="B197" s="4" t="s">
        <v>193</v>
      </c>
      <c r="C197" s="136" t="s">
        <v>442</v>
      </c>
      <c r="D197" s="137"/>
      <c r="E197" s="137"/>
      <c r="F197" s="4" t="s">
        <v>459</v>
      </c>
      <c r="G197" s="65">
        <v>385.22500000000002</v>
      </c>
      <c r="H197" s="15">
        <v>0</v>
      </c>
      <c r="I197" s="15">
        <f>G197*AO197</f>
        <v>0</v>
      </c>
      <c r="J197" s="15">
        <f>G197*AP197</f>
        <v>0</v>
      </c>
      <c r="K197" s="15">
        <f>G197*H197</f>
        <v>0</v>
      </c>
      <c r="L197" s="26" t="s">
        <v>476</v>
      </c>
      <c r="Z197" s="31">
        <f>IF(AQ197="5",BJ197,0)</f>
        <v>0</v>
      </c>
      <c r="AB197" s="31">
        <f>IF(AQ197="1",BH197,0)</f>
        <v>0</v>
      </c>
      <c r="AC197" s="31">
        <f>IF(AQ197="1",BI197,0)</f>
        <v>0</v>
      </c>
      <c r="AD197" s="31">
        <f>IF(AQ197="7",BH197,0)</f>
        <v>0</v>
      </c>
      <c r="AE197" s="31">
        <f>IF(AQ197="7",BI197,0)</f>
        <v>0</v>
      </c>
      <c r="AF197" s="31">
        <f>IF(AQ197="2",BH197,0)</f>
        <v>0</v>
      </c>
      <c r="AG197" s="31">
        <f>IF(AQ197="2",BI197,0)</f>
        <v>0</v>
      </c>
      <c r="AH197" s="31">
        <f>IF(AQ197="0",BJ197,0)</f>
        <v>0</v>
      </c>
      <c r="AI197" s="25" t="s">
        <v>488</v>
      </c>
      <c r="AJ197" s="15">
        <f>IF(AN197=0,K197,0)</f>
        <v>0</v>
      </c>
      <c r="AK197" s="15">
        <f>IF(AN197=15,K197,0)</f>
        <v>0</v>
      </c>
      <c r="AL197" s="15">
        <f>IF(AN197=21,K197,0)</f>
        <v>0</v>
      </c>
      <c r="AN197" s="31">
        <v>21</v>
      </c>
      <c r="AO197" s="31">
        <f>H197*0</f>
        <v>0</v>
      </c>
      <c r="AP197" s="31">
        <f>H197*(1-0)</f>
        <v>0</v>
      </c>
      <c r="AQ197" s="26" t="s">
        <v>7</v>
      </c>
      <c r="AV197" s="31">
        <f>AW197+AX197</f>
        <v>0</v>
      </c>
      <c r="AW197" s="31">
        <f>G197*AO197</f>
        <v>0</v>
      </c>
      <c r="AX197" s="31">
        <f>G197*AP197</f>
        <v>0</v>
      </c>
      <c r="AY197" s="32" t="s">
        <v>503</v>
      </c>
      <c r="AZ197" s="32" t="s">
        <v>537</v>
      </c>
      <c r="BA197" s="25" t="s">
        <v>542</v>
      </c>
      <c r="BC197" s="31">
        <f>AW197+AX197</f>
        <v>0</v>
      </c>
      <c r="BD197" s="31">
        <f>H197/(100-BE197)*100</f>
        <v>0</v>
      </c>
      <c r="BE197" s="31">
        <v>0</v>
      </c>
      <c r="BF197" s="31">
        <f>197</f>
        <v>197</v>
      </c>
      <c r="BH197" s="15">
        <f>G197*AO197</f>
        <v>0</v>
      </c>
      <c r="BI197" s="15">
        <f>G197*AP197</f>
        <v>0</v>
      </c>
      <c r="BJ197" s="15">
        <f>G197*H197</f>
        <v>0</v>
      </c>
    </row>
    <row r="198" spans="1:62" x14ac:dyDescent="0.2">
      <c r="A198" s="3"/>
      <c r="B198" s="11" t="s">
        <v>194</v>
      </c>
      <c r="C198" s="134" t="s">
        <v>335</v>
      </c>
      <c r="D198" s="135"/>
      <c r="E198" s="135"/>
      <c r="F198" s="3" t="s">
        <v>6</v>
      </c>
      <c r="G198" s="3" t="s">
        <v>6</v>
      </c>
      <c r="H198" s="3" t="s">
        <v>6</v>
      </c>
      <c r="I198" s="33">
        <f>SUM(I199:I205)</f>
        <v>0</v>
      </c>
      <c r="J198" s="33">
        <f>SUM(J199:J205)</f>
        <v>0</v>
      </c>
      <c r="K198" s="33">
        <f>SUM(K199:K205)</f>
        <v>0</v>
      </c>
      <c r="L198" s="25"/>
      <c r="AI198" s="25" t="s">
        <v>488</v>
      </c>
      <c r="AS198" s="33">
        <f>SUM(AJ199:AJ205)</f>
        <v>0</v>
      </c>
      <c r="AT198" s="33">
        <f>SUM(AK199:AK205)</f>
        <v>0</v>
      </c>
      <c r="AU198" s="33">
        <f>SUM(AL199:AL205)</f>
        <v>0</v>
      </c>
    </row>
    <row r="199" spans="1:62" x14ac:dyDescent="0.2">
      <c r="A199" s="4" t="s">
        <v>146</v>
      </c>
      <c r="B199" s="4" t="s">
        <v>195</v>
      </c>
      <c r="C199" s="136" t="s">
        <v>336</v>
      </c>
      <c r="D199" s="137"/>
      <c r="E199" s="137"/>
      <c r="F199" s="4" t="s">
        <v>458</v>
      </c>
      <c r="G199" s="65">
        <v>23.114000000000001</v>
      </c>
      <c r="H199" s="15">
        <v>0</v>
      </c>
      <c r="I199" s="15">
        <f t="shared" ref="I199:I205" si="158">G199*AO199</f>
        <v>0</v>
      </c>
      <c r="J199" s="15">
        <f t="shared" ref="J199:J205" si="159">G199*AP199</f>
        <v>0</v>
      </c>
      <c r="K199" s="15">
        <f t="shared" ref="K199:K205" si="160">G199*H199</f>
        <v>0</v>
      </c>
      <c r="L199" s="26" t="s">
        <v>476</v>
      </c>
      <c r="Z199" s="31">
        <f t="shared" ref="Z199:Z205" si="161">IF(AQ199="5",BJ199,0)</f>
        <v>0</v>
      </c>
      <c r="AB199" s="31">
        <f t="shared" ref="AB199:AB205" si="162">IF(AQ199="1",BH199,0)</f>
        <v>0</v>
      </c>
      <c r="AC199" s="31">
        <f t="shared" ref="AC199:AC205" si="163">IF(AQ199="1",BI199,0)</f>
        <v>0</v>
      </c>
      <c r="AD199" s="31">
        <f t="shared" ref="AD199:AD205" si="164">IF(AQ199="7",BH199,0)</f>
        <v>0</v>
      </c>
      <c r="AE199" s="31">
        <f t="shared" ref="AE199:AE205" si="165">IF(AQ199="7",BI199,0)</f>
        <v>0</v>
      </c>
      <c r="AF199" s="31">
        <f t="shared" ref="AF199:AF205" si="166">IF(AQ199="2",BH199,0)</f>
        <v>0</v>
      </c>
      <c r="AG199" s="31">
        <f t="shared" ref="AG199:AG205" si="167">IF(AQ199="2",BI199,0)</f>
        <v>0</v>
      </c>
      <c r="AH199" s="31">
        <f t="shared" ref="AH199:AH205" si="168">IF(AQ199="0",BJ199,0)</f>
        <v>0</v>
      </c>
      <c r="AI199" s="25" t="s">
        <v>488</v>
      </c>
      <c r="AJ199" s="15">
        <f t="shared" ref="AJ199:AJ205" si="169">IF(AN199=0,K199,0)</f>
        <v>0</v>
      </c>
      <c r="AK199" s="15">
        <f t="shared" ref="AK199:AK205" si="170">IF(AN199=15,K199,0)</f>
        <v>0</v>
      </c>
      <c r="AL199" s="15">
        <f t="shared" ref="AL199:AL205" si="171">IF(AN199=21,K199,0)</f>
        <v>0</v>
      </c>
      <c r="AN199" s="31">
        <v>21</v>
      </c>
      <c r="AO199" s="31">
        <f t="shared" ref="AO199:AO205" si="172">H199*0</f>
        <v>0</v>
      </c>
      <c r="AP199" s="31">
        <f t="shared" ref="AP199:AP205" si="173">H199*(1-0)</f>
        <v>0</v>
      </c>
      <c r="AQ199" s="26" t="s">
        <v>11</v>
      </c>
      <c r="AV199" s="31">
        <f t="shared" ref="AV199:AV205" si="174">AW199+AX199</f>
        <v>0</v>
      </c>
      <c r="AW199" s="31">
        <f t="shared" ref="AW199:AW205" si="175">G199*AO199</f>
        <v>0</v>
      </c>
      <c r="AX199" s="31">
        <f t="shared" ref="AX199:AX205" si="176">G199*AP199</f>
        <v>0</v>
      </c>
      <c r="AY199" s="32" t="s">
        <v>504</v>
      </c>
      <c r="AZ199" s="32" t="s">
        <v>537</v>
      </c>
      <c r="BA199" s="25" t="s">
        <v>542</v>
      </c>
      <c r="BC199" s="31">
        <f t="shared" ref="BC199:BC205" si="177">AW199+AX199</f>
        <v>0</v>
      </c>
      <c r="BD199" s="31">
        <f t="shared" ref="BD199:BD205" si="178">H199/(100-BE199)*100</f>
        <v>0</v>
      </c>
      <c r="BE199" s="31">
        <v>0</v>
      </c>
      <c r="BF199" s="31">
        <f>199</f>
        <v>199</v>
      </c>
      <c r="BH199" s="15">
        <f t="shared" ref="BH199:BH205" si="179">G199*AO199</f>
        <v>0</v>
      </c>
      <c r="BI199" s="15">
        <f t="shared" ref="BI199:BI205" si="180">G199*AP199</f>
        <v>0</v>
      </c>
      <c r="BJ199" s="15">
        <f t="shared" ref="BJ199:BJ205" si="181">G199*H199</f>
        <v>0</v>
      </c>
    </row>
    <row r="200" spans="1:62" x14ac:dyDescent="0.2">
      <c r="A200" s="4" t="s">
        <v>147</v>
      </c>
      <c r="B200" s="4" t="s">
        <v>196</v>
      </c>
      <c r="C200" s="136" t="s">
        <v>337</v>
      </c>
      <c r="D200" s="137"/>
      <c r="E200" s="137"/>
      <c r="F200" s="4" t="s">
        <v>458</v>
      </c>
      <c r="G200" s="65">
        <v>92.456000000000003</v>
      </c>
      <c r="H200" s="15">
        <v>0</v>
      </c>
      <c r="I200" s="15">
        <f t="shared" si="158"/>
        <v>0</v>
      </c>
      <c r="J200" s="15">
        <f t="shared" si="159"/>
        <v>0</v>
      </c>
      <c r="K200" s="15">
        <f t="shared" si="160"/>
        <v>0</v>
      </c>
      <c r="L200" s="26" t="s">
        <v>476</v>
      </c>
      <c r="Z200" s="31">
        <f t="shared" si="161"/>
        <v>0</v>
      </c>
      <c r="AB200" s="31">
        <f t="shared" si="162"/>
        <v>0</v>
      </c>
      <c r="AC200" s="31">
        <f t="shared" si="163"/>
        <v>0</v>
      </c>
      <c r="AD200" s="31">
        <f t="shared" si="164"/>
        <v>0</v>
      </c>
      <c r="AE200" s="31">
        <f t="shared" si="165"/>
        <v>0</v>
      </c>
      <c r="AF200" s="31">
        <f t="shared" si="166"/>
        <v>0</v>
      </c>
      <c r="AG200" s="31">
        <f t="shared" si="167"/>
        <v>0</v>
      </c>
      <c r="AH200" s="31">
        <f t="shared" si="168"/>
        <v>0</v>
      </c>
      <c r="AI200" s="25" t="s">
        <v>488</v>
      </c>
      <c r="AJ200" s="15">
        <f t="shared" si="169"/>
        <v>0</v>
      </c>
      <c r="AK200" s="15">
        <f t="shared" si="170"/>
        <v>0</v>
      </c>
      <c r="AL200" s="15">
        <f t="shared" si="171"/>
        <v>0</v>
      </c>
      <c r="AN200" s="31">
        <v>21</v>
      </c>
      <c r="AO200" s="31">
        <f t="shared" si="172"/>
        <v>0</v>
      </c>
      <c r="AP200" s="31">
        <f t="shared" si="173"/>
        <v>0</v>
      </c>
      <c r="AQ200" s="26" t="s">
        <v>11</v>
      </c>
      <c r="AV200" s="31">
        <f t="shared" si="174"/>
        <v>0</v>
      </c>
      <c r="AW200" s="31">
        <f t="shared" si="175"/>
        <v>0</v>
      </c>
      <c r="AX200" s="31">
        <f t="shared" si="176"/>
        <v>0</v>
      </c>
      <c r="AY200" s="32" t="s">
        <v>504</v>
      </c>
      <c r="AZ200" s="32" t="s">
        <v>537</v>
      </c>
      <c r="BA200" s="25" t="s">
        <v>542</v>
      </c>
      <c r="BC200" s="31">
        <f t="shared" si="177"/>
        <v>0</v>
      </c>
      <c r="BD200" s="31">
        <f t="shared" si="178"/>
        <v>0</v>
      </c>
      <c r="BE200" s="31">
        <v>0</v>
      </c>
      <c r="BF200" s="31">
        <f>200</f>
        <v>200</v>
      </c>
      <c r="BH200" s="15">
        <f t="shared" si="179"/>
        <v>0</v>
      </c>
      <c r="BI200" s="15">
        <f t="shared" si="180"/>
        <v>0</v>
      </c>
      <c r="BJ200" s="15">
        <f t="shared" si="181"/>
        <v>0</v>
      </c>
    </row>
    <row r="201" spans="1:62" x14ac:dyDescent="0.2">
      <c r="A201" s="4" t="s">
        <v>148</v>
      </c>
      <c r="B201" s="4" t="s">
        <v>197</v>
      </c>
      <c r="C201" s="136" t="s">
        <v>338</v>
      </c>
      <c r="D201" s="137"/>
      <c r="E201" s="137"/>
      <c r="F201" s="4" t="s">
        <v>458</v>
      </c>
      <c r="G201" s="65">
        <v>23.114000000000001</v>
      </c>
      <c r="H201" s="15">
        <v>0</v>
      </c>
      <c r="I201" s="15">
        <f t="shared" si="158"/>
        <v>0</v>
      </c>
      <c r="J201" s="15">
        <f t="shared" si="159"/>
        <v>0</v>
      </c>
      <c r="K201" s="15">
        <f t="shared" si="160"/>
        <v>0</v>
      </c>
      <c r="L201" s="26" t="s">
        <v>476</v>
      </c>
      <c r="Z201" s="31">
        <f t="shared" si="161"/>
        <v>0</v>
      </c>
      <c r="AB201" s="31">
        <f t="shared" si="162"/>
        <v>0</v>
      </c>
      <c r="AC201" s="31">
        <f t="shared" si="163"/>
        <v>0</v>
      </c>
      <c r="AD201" s="31">
        <f t="shared" si="164"/>
        <v>0</v>
      </c>
      <c r="AE201" s="31">
        <f t="shared" si="165"/>
        <v>0</v>
      </c>
      <c r="AF201" s="31">
        <f t="shared" si="166"/>
        <v>0</v>
      </c>
      <c r="AG201" s="31">
        <f t="shared" si="167"/>
        <v>0</v>
      </c>
      <c r="AH201" s="31">
        <f t="shared" si="168"/>
        <v>0</v>
      </c>
      <c r="AI201" s="25" t="s">
        <v>488</v>
      </c>
      <c r="AJ201" s="15">
        <f t="shared" si="169"/>
        <v>0</v>
      </c>
      <c r="AK201" s="15">
        <f t="shared" si="170"/>
        <v>0</v>
      </c>
      <c r="AL201" s="15">
        <f t="shared" si="171"/>
        <v>0</v>
      </c>
      <c r="AN201" s="31">
        <v>21</v>
      </c>
      <c r="AO201" s="31">
        <f t="shared" si="172"/>
        <v>0</v>
      </c>
      <c r="AP201" s="31">
        <f t="shared" si="173"/>
        <v>0</v>
      </c>
      <c r="AQ201" s="26" t="s">
        <v>11</v>
      </c>
      <c r="AV201" s="31">
        <f t="shared" si="174"/>
        <v>0</v>
      </c>
      <c r="AW201" s="31">
        <f t="shared" si="175"/>
        <v>0</v>
      </c>
      <c r="AX201" s="31">
        <f t="shared" si="176"/>
        <v>0</v>
      </c>
      <c r="AY201" s="32" t="s">
        <v>504</v>
      </c>
      <c r="AZ201" s="32" t="s">
        <v>537</v>
      </c>
      <c r="BA201" s="25" t="s">
        <v>542</v>
      </c>
      <c r="BC201" s="31">
        <f t="shared" si="177"/>
        <v>0</v>
      </c>
      <c r="BD201" s="31">
        <f t="shared" si="178"/>
        <v>0</v>
      </c>
      <c r="BE201" s="31">
        <v>0</v>
      </c>
      <c r="BF201" s="31">
        <f>201</f>
        <v>201</v>
      </c>
      <c r="BH201" s="15">
        <f t="shared" si="179"/>
        <v>0</v>
      </c>
      <c r="BI201" s="15">
        <f t="shared" si="180"/>
        <v>0</v>
      </c>
      <c r="BJ201" s="15">
        <f t="shared" si="181"/>
        <v>0</v>
      </c>
    </row>
    <row r="202" spans="1:62" x14ac:dyDescent="0.2">
      <c r="A202" s="4" t="s">
        <v>149</v>
      </c>
      <c r="B202" s="4" t="s">
        <v>198</v>
      </c>
      <c r="C202" s="136" t="s">
        <v>339</v>
      </c>
      <c r="D202" s="137"/>
      <c r="E202" s="137"/>
      <c r="F202" s="4" t="s">
        <v>458</v>
      </c>
      <c r="G202" s="65">
        <v>23.114000000000001</v>
      </c>
      <c r="H202" s="15">
        <v>0</v>
      </c>
      <c r="I202" s="15">
        <f t="shared" si="158"/>
        <v>0</v>
      </c>
      <c r="J202" s="15">
        <f t="shared" si="159"/>
        <v>0</v>
      </c>
      <c r="K202" s="15">
        <f t="shared" si="160"/>
        <v>0</v>
      </c>
      <c r="L202" s="26" t="s">
        <v>476</v>
      </c>
      <c r="Z202" s="31">
        <f t="shared" si="161"/>
        <v>0</v>
      </c>
      <c r="AB202" s="31">
        <f t="shared" si="162"/>
        <v>0</v>
      </c>
      <c r="AC202" s="31">
        <f t="shared" si="163"/>
        <v>0</v>
      </c>
      <c r="AD202" s="31">
        <f t="shared" si="164"/>
        <v>0</v>
      </c>
      <c r="AE202" s="31">
        <f t="shared" si="165"/>
        <v>0</v>
      </c>
      <c r="AF202" s="31">
        <f t="shared" si="166"/>
        <v>0</v>
      </c>
      <c r="AG202" s="31">
        <f t="shared" si="167"/>
        <v>0</v>
      </c>
      <c r="AH202" s="31">
        <f t="shared" si="168"/>
        <v>0</v>
      </c>
      <c r="AI202" s="25" t="s">
        <v>488</v>
      </c>
      <c r="AJ202" s="15">
        <f t="shared" si="169"/>
        <v>0</v>
      </c>
      <c r="AK202" s="15">
        <f t="shared" si="170"/>
        <v>0</v>
      </c>
      <c r="AL202" s="15">
        <f t="shared" si="171"/>
        <v>0</v>
      </c>
      <c r="AN202" s="31">
        <v>21</v>
      </c>
      <c r="AO202" s="31">
        <f t="shared" si="172"/>
        <v>0</v>
      </c>
      <c r="AP202" s="31">
        <f t="shared" si="173"/>
        <v>0</v>
      </c>
      <c r="AQ202" s="26" t="s">
        <v>11</v>
      </c>
      <c r="AV202" s="31">
        <f t="shared" si="174"/>
        <v>0</v>
      </c>
      <c r="AW202" s="31">
        <f t="shared" si="175"/>
        <v>0</v>
      </c>
      <c r="AX202" s="31">
        <f t="shared" si="176"/>
        <v>0</v>
      </c>
      <c r="AY202" s="32" t="s">
        <v>504</v>
      </c>
      <c r="AZ202" s="32" t="s">
        <v>537</v>
      </c>
      <c r="BA202" s="25" t="s">
        <v>542</v>
      </c>
      <c r="BC202" s="31">
        <f t="shared" si="177"/>
        <v>0</v>
      </c>
      <c r="BD202" s="31">
        <f t="shared" si="178"/>
        <v>0</v>
      </c>
      <c r="BE202" s="31">
        <v>0</v>
      </c>
      <c r="BF202" s="31">
        <f>202</f>
        <v>202</v>
      </c>
      <c r="BH202" s="15">
        <f t="shared" si="179"/>
        <v>0</v>
      </c>
      <c r="BI202" s="15">
        <f t="shared" si="180"/>
        <v>0</v>
      </c>
      <c r="BJ202" s="15">
        <f t="shared" si="181"/>
        <v>0</v>
      </c>
    </row>
    <row r="203" spans="1:62" x14ac:dyDescent="0.2">
      <c r="A203" s="4" t="s">
        <v>150</v>
      </c>
      <c r="B203" s="4" t="s">
        <v>199</v>
      </c>
      <c r="C203" s="136" t="s">
        <v>340</v>
      </c>
      <c r="D203" s="137"/>
      <c r="E203" s="137"/>
      <c r="F203" s="4" t="s">
        <v>458</v>
      </c>
      <c r="G203" s="65">
        <v>69.341999999999999</v>
      </c>
      <c r="H203" s="15">
        <v>0</v>
      </c>
      <c r="I203" s="15">
        <f t="shared" si="158"/>
        <v>0</v>
      </c>
      <c r="J203" s="15">
        <f t="shared" si="159"/>
        <v>0</v>
      </c>
      <c r="K203" s="15">
        <f t="shared" si="160"/>
        <v>0</v>
      </c>
      <c r="L203" s="26" t="s">
        <v>476</v>
      </c>
      <c r="Z203" s="31">
        <f t="shared" si="161"/>
        <v>0</v>
      </c>
      <c r="AB203" s="31">
        <f t="shared" si="162"/>
        <v>0</v>
      </c>
      <c r="AC203" s="31">
        <f t="shared" si="163"/>
        <v>0</v>
      </c>
      <c r="AD203" s="31">
        <f t="shared" si="164"/>
        <v>0</v>
      </c>
      <c r="AE203" s="31">
        <f t="shared" si="165"/>
        <v>0</v>
      </c>
      <c r="AF203" s="31">
        <f t="shared" si="166"/>
        <v>0</v>
      </c>
      <c r="AG203" s="31">
        <f t="shared" si="167"/>
        <v>0</v>
      </c>
      <c r="AH203" s="31">
        <f t="shared" si="168"/>
        <v>0</v>
      </c>
      <c r="AI203" s="25" t="s">
        <v>488</v>
      </c>
      <c r="AJ203" s="15">
        <f t="shared" si="169"/>
        <v>0</v>
      </c>
      <c r="AK203" s="15">
        <f t="shared" si="170"/>
        <v>0</v>
      </c>
      <c r="AL203" s="15">
        <f t="shared" si="171"/>
        <v>0</v>
      </c>
      <c r="AN203" s="31">
        <v>21</v>
      </c>
      <c r="AO203" s="31">
        <f t="shared" si="172"/>
        <v>0</v>
      </c>
      <c r="AP203" s="31">
        <f t="shared" si="173"/>
        <v>0</v>
      </c>
      <c r="AQ203" s="26" t="s">
        <v>11</v>
      </c>
      <c r="AV203" s="31">
        <f t="shared" si="174"/>
        <v>0</v>
      </c>
      <c r="AW203" s="31">
        <f t="shared" si="175"/>
        <v>0</v>
      </c>
      <c r="AX203" s="31">
        <f t="shared" si="176"/>
        <v>0</v>
      </c>
      <c r="AY203" s="32" t="s">
        <v>504</v>
      </c>
      <c r="AZ203" s="32" t="s">
        <v>537</v>
      </c>
      <c r="BA203" s="25" t="s">
        <v>542</v>
      </c>
      <c r="BC203" s="31">
        <f t="shared" si="177"/>
        <v>0</v>
      </c>
      <c r="BD203" s="31">
        <f t="shared" si="178"/>
        <v>0</v>
      </c>
      <c r="BE203" s="31">
        <v>0</v>
      </c>
      <c r="BF203" s="31">
        <f>203</f>
        <v>203</v>
      </c>
      <c r="BH203" s="15">
        <f t="shared" si="179"/>
        <v>0</v>
      </c>
      <c r="BI203" s="15">
        <f t="shared" si="180"/>
        <v>0</v>
      </c>
      <c r="BJ203" s="15">
        <f t="shared" si="181"/>
        <v>0</v>
      </c>
    </row>
    <row r="204" spans="1:62" x14ac:dyDescent="0.2">
      <c r="A204" s="4" t="s">
        <v>151</v>
      </c>
      <c r="B204" s="4" t="s">
        <v>200</v>
      </c>
      <c r="C204" s="136" t="s">
        <v>341</v>
      </c>
      <c r="D204" s="137"/>
      <c r="E204" s="137"/>
      <c r="F204" s="4" t="s">
        <v>458</v>
      </c>
      <c r="G204" s="65">
        <v>23.114000000000001</v>
      </c>
      <c r="H204" s="15">
        <v>0</v>
      </c>
      <c r="I204" s="15">
        <f t="shared" si="158"/>
        <v>0</v>
      </c>
      <c r="J204" s="15">
        <f t="shared" si="159"/>
        <v>0</v>
      </c>
      <c r="K204" s="15">
        <f t="shared" si="160"/>
        <v>0</v>
      </c>
      <c r="L204" s="26" t="s">
        <v>476</v>
      </c>
      <c r="Z204" s="31">
        <f t="shared" si="161"/>
        <v>0</v>
      </c>
      <c r="AB204" s="31">
        <f t="shared" si="162"/>
        <v>0</v>
      </c>
      <c r="AC204" s="31">
        <f t="shared" si="163"/>
        <v>0</v>
      </c>
      <c r="AD204" s="31">
        <f t="shared" si="164"/>
        <v>0</v>
      </c>
      <c r="AE204" s="31">
        <f t="shared" si="165"/>
        <v>0</v>
      </c>
      <c r="AF204" s="31">
        <f t="shared" si="166"/>
        <v>0</v>
      </c>
      <c r="AG204" s="31">
        <f t="shared" si="167"/>
        <v>0</v>
      </c>
      <c r="AH204" s="31">
        <f t="shared" si="168"/>
        <v>0</v>
      </c>
      <c r="AI204" s="25" t="s">
        <v>488</v>
      </c>
      <c r="AJ204" s="15">
        <f t="shared" si="169"/>
        <v>0</v>
      </c>
      <c r="AK204" s="15">
        <f t="shared" si="170"/>
        <v>0</v>
      </c>
      <c r="AL204" s="15">
        <f t="shared" si="171"/>
        <v>0</v>
      </c>
      <c r="AN204" s="31">
        <v>21</v>
      </c>
      <c r="AO204" s="31">
        <f t="shared" si="172"/>
        <v>0</v>
      </c>
      <c r="AP204" s="31">
        <f t="shared" si="173"/>
        <v>0</v>
      </c>
      <c r="AQ204" s="26" t="s">
        <v>11</v>
      </c>
      <c r="AV204" s="31">
        <f t="shared" si="174"/>
        <v>0</v>
      </c>
      <c r="AW204" s="31">
        <f t="shared" si="175"/>
        <v>0</v>
      </c>
      <c r="AX204" s="31">
        <f t="shared" si="176"/>
        <v>0</v>
      </c>
      <c r="AY204" s="32" t="s">
        <v>504</v>
      </c>
      <c r="AZ204" s="32" t="s">
        <v>537</v>
      </c>
      <c r="BA204" s="25" t="s">
        <v>542</v>
      </c>
      <c r="BC204" s="31">
        <f t="shared" si="177"/>
        <v>0</v>
      </c>
      <c r="BD204" s="31">
        <f t="shared" si="178"/>
        <v>0</v>
      </c>
      <c r="BE204" s="31">
        <v>0</v>
      </c>
      <c r="BF204" s="31">
        <f>204</f>
        <v>204</v>
      </c>
      <c r="BH204" s="15">
        <f t="shared" si="179"/>
        <v>0</v>
      </c>
      <c r="BI204" s="15">
        <f t="shared" si="180"/>
        <v>0</v>
      </c>
      <c r="BJ204" s="15">
        <f t="shared" si="181"/>
        <v>0</v>
      </c>
    </row>
    <row r="205" spans="1:62" x14ac:dyDescent="0.2">
      <c r="A205" s="4" t="s">
        <v>152</v>
      </c>
      <c r="B205" s="4" t="s">
        <v>201</v>
      </c>
      <c r="C205" s="136" t="s">
        <v>342</v>
      </c>
      <c r="D205" s="137"/>
      <c r="E205" s="137"/>
      <c r="F205" s="4" t="s">
        <v>458</v>
      </c>
      <c r="G205" s="65">
        <v>23.114000000000001</v>
      </c>
      <c r="H205" s="15">
        <v>0</v>
      </c>
      <c r="I205" s="15">
        <f t="shared" si="158"/>
        <v>0</v>
      </c>
      <c r="J205" s="15">
        <f t="shared" si="159"/>
        <v>0</v>
      </c>
      <c r="K205" s="15">
        <f t="shared" si="160"/>
        <v>0</v>
      </c>
      <c r="L205" s="26" t="s">
        <v>476</v>
      </c>
      <c r="Z205" s="31">
        <f t="shared" si="161"/>
        <v>0</v>
      </c>
      <c r="AB205" s="31">
        <f t="shared" si="162"/>
        <v>0</v>
      </c>
      <c r="AC205" s="31">
        <f t="shared" si="163"/>
        <v>0</v>
      </c>
      <c r="AD205" s="31">
        <f t="shared" si="164"/>
        <v>0</v>
      </c>
      <c r="AE205" s="31">
        <f t="shared" si="165"/>
        <v>0</v>
      </c>
      <c r="AF205" s="31">
        <f t="shared" si="166"/>
        <v>0</v>
      </c>
      <c r="AG205" s="31">
        <f t="shared" si="167"/>
        <v>0</v>
      </c>
      <c r="AH205" s="31">
        <f t="shared" si="168"/>
        <v>0</v>
      </c>
      <c r="AI205" s="25" t="s">
        <v>488</v>
      </c>
      <c r="AJ205" s="15">
        <f t="shared" si="169"/>
        <v>0</v>
      </c>
      <c r="AK205" s="15">
        <f t="shared" si="170"/>
        <v>0</v>
      </c>
      <c r="AL205" s="15">
        <f t="shared" si="171"/>
        <v>0</v>
      </c>
      <c r="AN205" s="31">
        <v>21</v>
      </c>
      <c r="AO205" s="31">
        <f t="shared" si="172"/>
        <v>0</v>
      </c>
      <c r="AP205" s="31">
        <f t="shared" si="173"/>
        <v>0</v>
      </c>
      <c r="AQ205" s="26" t="s">
        <v>11</v>
      </c>
      <c r="AV205" s="31">
        <f t="shared" si="174"/>
        <v>0</v>
      </c>
      <c r="AW205" s="31">
        <f t="shared" si="175"/>
        <v>0</v>
      </c>
      <c r="AX205" s="31">
        <f t="shared" si="176"/>
        <v>0</v>
      </c>
      <c r="AY205" s="32" t="s">
        <v>504</v>
      </c>
      <c r="AZ205" s="32" t="s">
        <v>537</v>
      </c>
      <c r="BA205" s="25" t="s">
        <v>542</v>
      </c>
      <c r="BC205" s="31">
        <f t="shared" si="177"/>
        <v>0</v>
      </c>
      <c r="BD205" s="31">
        <f t="shared" si="178"/>
        <v>0</v>
      </c>
      <c r="BE205" s="31">
        <v>0</v>
      </c>
      <c r="BF205" s="31">
        <f>205</f>
        <v>205</v>
      </c>
      <c r="BH205" s="15">
        <f t="shared" si="179"/>
        <v>0</v>
      </c>
      <c r="BI205" s="15">
        <f t="shared" si="180"/>
        <v>0</v>
      </c>
      <c r="BJ205" s="15">
        <f t="shared" si="181"/>
        <v>0</v>
      </c>
    </row>
    <row r="206" spans="1:62" x14ac:dyDescent="0.2">
      <c r="A206" s="3"/>
      <c r="B206" s="11" t="s">
        <v>202</v>
      </c>
      <c r="C206" s="134" t="s">
        <v>343</v>
      </c>
      <c r="D206" s="135"/>
      <c r="E206" s="135"/>
      <c r="F206" s="3" t="s">
        <v>6</v>
      </c>
      <c r="G206" s="3" t="s">
        <v>6</v>
      </c>
      <c r="H206" s="3" t="s">
        <v>6</v>
      </c>
      <c r="I206" s="33">
        <f>SUM(I207:I207)</f>
        <v>0</v>
      </c>
      <c r="J206" s="33">
        <f>SUM(J207:J207)</f>
        <v>0</v>
      </c>
      <c r="K206" s="33">
        <f>SUM(K207:K207)</f>
        <v>0</v>
      </c>
      <c r="L206" s="25"/>
      <c r="AI206" s="25" t="s">
        <v>488</v>
      </c>
      <c r="AS206" s="33">
        <f>SUM(AJ207:AJ207)</f>
        <v>0</v>
      </c>
      <c r="AT206" s="33">
        <f>SUM(AK207:AK207)</f>
        <v>0</v>
      </c>
      <c r="AU206" s="33">
        <f>SUM(AL207:AL207)</f>
        <v>0</v>
      </c>
    </row>
    <row r="207" spans="1:62" x14ac:dyDescent="0.2">
      <c r="A207" s="4" t="s">
        <v>153</v>
      </c>
      <c r="B207" s="4" t="s">
        <v>203</v>
      </c>
      <c r="C207" s="136" t="s">
        <v>344</v>
      </c>
      <c r="D207" s="137"/>
      <c r="E207" s="137"/>
      <c r="F207" s="4" t="s">
        <v>458</v>
      </c>
      <c r="G207" s="65">
        <v>28.137</v>
      </c>
      <c r="H207" s="15">
        <v>0</v>
      </c>
      <c r="I207" s="15">
        <f>G207*AO207</f>
        <v>0</v>
      </c>
      <c r="J207" s="15">
        <f>G207*AP207</f>
        <v>0</v>
      </c>
      <c r="K207" s="15">
        <f>G207*H207</f>
        <v>0</v>
      </c>
      <c r="L207" s="26" t="s">
        <v>476</v>
      </c>
      <c r="Z207" s="31">
        <f>IF(AQ207="5",BJ207,0)</f>
        <v>0</v>
      </c>
      <c r="AB207" s="31">
        <f>IF(AQ207="1",BH207,0)</f>
        <v>0</v>
      </c>
      <c r="AC207" s="31">
        <f>IF(AQ207="1",BI207,0)</f>
        <v>0</v>
      </c>
      <c r="AD207" s="31">
        <f>IF(AQ207="7",BH207,0)</f>
        <v>0</v>
      </c>
      <c r="AE207" s="31">
        <f>IF(AQ207="7",BI207,0)</f>
        <v>0</v>
      </c>
      <c r="AF207" s="31">
        <f>IF(AQ207="2",BH207,0)</f>
        <v>0</v>
      </c>
      <c r="AG207" s="31">
        <f>IF(AQ207="2",BI207,0)</f>
        <v>0</v>
      </c>
      <c r="AH207" s="31">
        <f>IF(AQ207="0",BJ207,0)</f>
        <v>0</v>
      </c>
      <c r="AI207" s="25" t="s">
        <v>488</v>
      </c>
      <c r="AJ207" s="15">
        <f>IF(AN207=0,K207,0)</f>
        <v>0</v>
      </c>
      <c r="AK207" s="15">
        <f>IF(AN207=15,K207,0)</f>
        <v>0</v>
      </c>
      <c r="AL207" s="15">
        <f>IF(AN207=21,K207,0)</f>
        <v>0</v>
      </c>
      <c r="AN207" s="31">
        <v>21</v>
      </c>
      <c r="AO207" s="31">
        <f>H207*0</f>
        <v>0</v>
      </c>
      <c r="AP207" s="31">
        <f>H207*(1-0)</f>
        <v>0</v>
      </c>
      <c r="AQ207" s="26" t="s">
        <v>11</v>
      </c>
      <c r="AV207" s="31">
        <f>AW207+AX207</f>
        <v>0</v>
      </c>
      <c r="AW207" s="31">
        <f>G207*AO207</f>
        <v>0</v>
      </c>
      <c r="AX207" s="31">
        <f>G207*AP207</f>
        <v>0</v>
      </c>
      <c r="AY207" s="32" t="s">
        <v>505</v>
      </c>
      <c r="AZ207" s="32" t="s">
        <v>537</v>
      </c>
      <c r="BA207" s="25" t="s">
        <v>542</v>
      </c>
      <c r="BC207" s="31">
        <f>AW207+AX207</f>
        <v>0</v>
      </c>
      <c r="BD207" s="31">
        <f>H207/(100-BE207)*100</f>
        <v>0</v>
      </c>
      <c r="BE207" s="31">
        <v>0</v>
      </c>
      <c r="BF207" s="31">
        <f>207</f>
        <v>207</v>
      </c>
      <c r="BH207" s="15">
        <f>G207*AO207</f>
        <v>0</v>
      </c>
      <c r="BI207" s="15">
        <f>G207*AP207</f>
        <v>0</v>
      </c>
      <c r="BJ207" s="15">
        <f>G207*H207</f>
        <v>0</v>
      </c>
    </row>
    <row r="208" spans="1:62" x14ac:dyDescent="0.2">
      <c r="A208" s="3"/>
      <c r="B208" s="11" t="s">
        <v>212</v>
      </c>
      <c r="C208" s="134" t="s">
        <v>353</v>
      </c>
      <c r="D208" s="135"/>
      <c r="E208" s="135"/>
      <c r="F208" s="3" t="s">
        <v>6</v>
      </c>
      <c r="G208" s="3" t="s">
        <v>6</v>
      </c>
      <c r="H208" s="3" t="s">
        <v>6</v>
      </c>
      <c r="I208" s="33">
        <f>SUM(I209:I212)</f>
        <v>0</v>
      </c>
      <c r="J208" s="33">
        <f>SUM(J209:J212)</f>
        <v>0</v>
      </c>
      <c r="K208" s="33">
        <f>SUM(K209:K212)</f>
        <v>0</v>
      </c>
      <c r="L208" s="25"/>
      <c r="AI208" s="25" t="s">
        <v>488</v>
      </c>
      <c r="AS208" s="33">
        <f>SUM(AJ209:AJ212)</f>
        <v>0</v>
      </c>
      <c r="AT208" s="33">
        <f>SUM(AK209:AK212)</f>
        <v>0</v>
      </c>
      <c r="AU208" s="33">
        <f>SUM(AL209:AL212)</f>
        <v>0</v>
      </c>
    </row>
    <row r="209" spans="1:62" x14ac:dyDescent="0.2">
      <c r="A209" s="4" t="s">
        <v>154</v>
      </c>
      <c r="B209" s="4" t="s">
        <v>214</v>
      </c>
      <c r="C209" s="136" t="s">
        <v>355</v>
      </c>
      <c r="D209" s="137"/>
      <c r="E209" s="137"/>
      <c r="F209" s="4" t="s">
        <v>459</v>
      </c>
      <c r="G209" s="65">
        <v>385.22500000000002</v>
      </c>
      <c r="H209" s="15">
        <v>0</v>
      </c>
      <c r="I209" s="15">
        <f>G209*AO209</f>
        <v>0</v>
      </c>
      <c r="J209" s="15">
        <f>G209*AP209</f>
        <v>0</v>
      </c>
      <c r="K209" s="15">
        <f>G209*H209</f>
        <v>0</v>
      </c>
      <c r="L209" s="26" t="s">
        <v>476</v>
      </c>
      <c r="Z209" s="31">
        <f>IF(AQ209="5",BJ209,0)</f>
        <v>0</v>
      </c>
      <c r="AB209" s="31">
        <f>IF(AQ209="1",BH209,0)</f>
        <v>0</v>
      </c>
      <c r="AC209" s="31">
        <f>IF(AQ209="1",BI209,0)</f>
        <v>0</v>
      </c>
      <c r="AD209" s="31">
        <f>IF(AQ209="7",BH209,0)</f>
        <v>0</v>
      </c>
      <c r="AE209" s="31">
        <f>IF(AQ209="7",BI209,0)</f>
        <v>0</v>
      </c>
      <c r="AF209" s="31">
        <f>IF(AQ209="2",BH209,0)</f>
        <v>0</v>
      </c>
      <c r="AG209" s="31">
        <f>IF(AQ209="2",BI209,0)</f>
        <v>0</v>
      </c>
      <c r="AH209" s="31">
        <f>IF(AQ209="0",BJ209,0)</f>
        <v>0</v>
      </c>
      <c r="AI209" s="25" t="s">
        <v>488</v>
      </c>
      <c r="AJ209" s="15">
        <f>IF(AN209=0,K209,0)</f>
        <v>0</v>
      </c>
      <c r="AK209" s="15">
        <f>IF(AN209=15,K209,0)</f>
        <v>0</v>
      </c>
      <c r="AL209" s="15">
        <f>IF(AN209=21,K209,0)</f>
        <v>0</v>
      </c>
      <c r="AN209" s="31">
        <v>21</v>
      </c>
      <c r="AO209" s="31">
        <f>H209*0</f>
        <v>0</v>
      </c>
      <c r="AP209" s="31">
        <f>H209*(1-0)</f>
        <v>0</v>
      </c>
      <c r="AQ209" s="26" t="s">
        <v>13</v>
      </c>
      <c r="AV209" s="31">
        <f>AW209+AX209</f>
        <v>0</v>
      </c>
      <c r="AW209" s="31">
        <f>G209*AO209</f>
        <v>0</v>
      </c>
      <c r="AX209" s="31">
        <f>G209*AP209</f>
        <v>0</v>
      </c>
      <c r="AY209" s="32" t="s">
        <v>508</v>
      </c>
      <c r="AZ209" s="32" t="s">
        <v>538</v>
      </c>
      <c r="BA209" s="25" t="s">
        <v>542</v>
      </c>
      <c r="BC209" s="31">
        <f>AW209+AX209</f>
        <v>0</v>
      </c>
      <c r="BD209" s="31">
        <f>H209/(100-BE209)*100</f>
        <v>0</v>
      </c>
      <c r="BE209" s="31">
        <v>0</v>
      </c>
      <c r="BF209" s="31">
        <f>209</f>
        <v>209</v>
      </c>
      <c r="BH209" s="15">
        <f>G209*AO209</f>
        <v>0</v>
      </c>
      <c r="BI209" s="15">
        <f>G209*AP209</f>
        <v>0</v>
      </c>
      <c r="BJ209" s="15">
        <f>G209*H209</f>
        <v>0</v>
      </c>
    </row>
    <row r="210" spans="1:62" x14ac:dyDescent="0.2">
      <c r="A210" s="4" t="s">
        <v>155</v>
      </c>
      <c r="B210" s="4" t="s">
        <v>215</v>
      </c>
      <c r="C210" s="136" t="s">
        <v>443</v>
      </c>
      <c r="D210" s="137"/>
      <c r="E210" s="137"/>
      <c r="F210" s="4" t="s">
        <v>459</v>
      </c>
      <c r="G210" s="65">
        <v>118.577</v>
      </c>
      <c r="H210" s="15">
        <v>0</v>
      </c>
      <c r="I210" s="15">
        <f>G210*AO210</f>
        <v>0</v>
      </c>
      <c r="J210" s="15">
        <f>G210*AP210</f>
        <v>0</v>
      </c>
      <c r="K210" s="15">
        <f>G210*H210</f>
        <v>0</v>
      </c>
      <c r="L210" s="26" t="s">
        <v>476</v>
      </c>
      <c r="Z210" s="31">
        <f>IF(AQ210="5",BJ210,0)</f>
        <v>0</v>
      </c>
      <c r="AB210" s="31">
        <f>IF(AQ210="1",BH210,0)</f>
        <v>0</v>
      </c>
      <c r="AC210" s="31">
        <f>IF(AQ210="1",BI210,0)</f>
        <v>0</v>
      </c>
      <c r="AD210" s="31">
        <f>IF(AQ210="7",BH210,0)</f>
        <v>0</v>
      </c>
      <c r="AE210" s="31">
        <f>IF(AQ210="7",BI210,0)</f>
        <v>0</v>
      </c>
      <c r="AF210" s="31">
        <f>IF(AQ210="2",BH210,0)</f>
        <v>0</v>
      </c>
      <c r="AG210" s="31">
        <f>IF(AQ210="2",BI210,0)</f>
        <v>0</v>
      </c>
      <c r="AH210" s="31">
        <f>IF(AQ210="0",BJ210,0)</f>
        <v>0</v>
      </c>
      <c r="AI210" s="25" t="s">
        <v>488</v>
      </c>
      <c r="AJ210" s="15">
        <f>IF(AN210=0,K210,0)</f>
        <v>0</v>
      </c>
      <c r="AK210" s="15">
        <f>IF(AN210=15,K210,0)</f>
        <v>0</v>
      </c>
      <c r="AL210" s="15">
        <f>IF(AN210=21,K210,0)</f>
        <v>0</v>
      </c>
      <c r="AN210" s="31">
        <v>21</v>
      </c>
      <c r="AO210" s="31">
        <f>H210*0.590823173714169</f>
        <v>0</v>
      </c>
      <c r="AP210" s="31">
        <f>H210*(1-0.590823173714169)</f>
        <v>0</v>
      </c>
      <c r="AQ210" s="26" t="s">
        <v>13</v>
      </c>
      <c r="AV210" s="31">
        <f>AW210+AX210</f>
        <v>0</v>
      </c>
      <c r="AW210" s="31">
        <f>G210*AO210</f>
        <v>0</v>
      </c>
      <c r="AX210" s="31">
        <f>G210*AP210</f>
        <v>0</v>
      </c>
      <c r="AY210" s="32" t="s">
        <v>508</v>
      </c>
      <c r="AZ210" s="32" t="s">
        <v>538</v>
      </c>
      <c r="BA210" s="25" t="s">
        <v>542</v>
      </c>
      <c r="BC210" s="31">
        <f>AW210+AX210</f>
        <v>0</v>
      </c>
      <c r="BD210" s="31">
        <f>H210/(100-BE210)*100</f>
        <v>0</v>
      </c>
      <c r="BE210" s="31">
        <v>0</v>
      </c>
      <c r="BF210" s="31">
        <f>210</f>
        <v>210</v>
      </c>
      <c r="BH210" s="15">
        <f>G210*AO210</f>
        <v>0</v>
      </c>
      <c r="BI210" s="15">
        <f>G210*AP210</f>
        <v>0</v>
      </c>
      <c r="BJ210" s="15">
        <f>G210*H210</f>
        <v>0</v>
      </c>
    </row>
    <row r="211" spans="1:62" x14ac:dyDescent="0.2">
      <c r="A211" s="4" t="s">
        <v>156</v>
      </c>
      <c r="B211" s="4" t="s">
        <v>216</v>
      </c>
      <c r="C211" s="136" t="s">
        <v>357</v>
      </c>
      <c r="D211" s="137"/>
      <c r="E211" s="137"/>
      <c r="F211" s="4" t="s">
        <v>459</v>
      </c>
      <c r="G211" s="65">
        <v>385.22500000000002</v>
      </c>
      <c r="H211" s="15">
        <v>0</v>
      </c>
      <c r="I211" s="15">
        <f>G211*AO211</f>
        <v>0</v>
      </c>
      <c r="J211" s="15">
        <f>G211*AP211</f>
        <v>0</v>
      </c>
      <c r="K211" s="15">
        <f>G211*H211</f>
        <v>0</v>
      </c>
      <c r="L211" s="26" t="s">
        <v>476</v>
      </c>
      <c r="Z211" s="31">
        <f>IF(AQ211="5",BJ211,0)</f>
        <v>0</v>
      </c>
      <c r="AB211" s="31">
        <f>IF(AQ211="1",BH211,0)</f>
        <v>0</v>
      </c>
      <c r="AC211" s="31">
        <f>IF(AQ211="1",BI211,0)</f>
        <v>0</v>
      </c>
      <c r="AD211" s="31">
        <f>IF(AQ211="7",BH211,0)</f>
        <v>0</v>
      </c>
      <c r="AE211" s="31">
        <f>IF(AQ211="7",BI211,0)</f>
        <v>0</v>
      </c>
      <c r="AF211" s="31">
        <f>IF(AQ211="2",BH211,0)</f>
        <v>0</v>
      </c>
      <c r="AG211" s="31">
        <f>IF(AQ211="2",BI211,0)</f>
        <v>0</v>
      </c>
      <c r="AH211" s="31">
        <f>IF(AQ211="0",BJ211,0)</f>
        <v>0</v>
      </c>
      <c r="AI211" s="25" t="s">
        <v>488</v>
      </c>
      <c r="AJ211" s="15">
        <f>IF(AN211=0,K211,0)</f>
        <v>0</v>
      </c>
      <c r="AK211" s="15">
        <f>IF(AN211=15,K211,0)</f>
        <v>0</v>
      </c>
      <c r="AL211" s="15">
        <f>IF(AN211=21,K211,0)</f>
        <v>0</v>
      </c>
      <c r="AN211" s="31">
        <v>21</v>
      </c>
      <c r="AO211" s="31">
        <f>H211*0.400746268656716</f>
        <v>0</v>
      </c>
      <c r="AP211" s="31">
        <f>H211*(1-0.400746268656716)</f>
        <v>0</v>
      </c>
      <c r="AQ211" s="26" t="s">
        <v>13</v>
      </c>
      <c r="AV211" s="31">
        <f>AW211+AX211</f>
        <v>0</v>
      </c>
      <c r="AW211" s="31">
        <f>G211*AO211</f>
        <v>0</v>
      </c>
      <c r="AX211" s="31">
        <f>G211*AP211</f>
        <v>0</v>
      </c>
      <c r="AY211" s="32" t="s">
        <v>508</v>
      </c>
      <c r="AZ211" s="32" t="s">
        <v>538</v>
      </c>
      <c r="BA211" s="25" t="s">
        <v>542</v>
      </c>
      <c r="BC211" s="31">
        <f>AW211+AX211</f>
        <v>0</v>
      </c>
      <c r="BD211" s="31">
        <f>H211/(100-BE211)*100</f>
        <v>0</v>
      </c>
      <c r="BE211" s="31">
        <v>0</v>
      </c>
      <c r="BF211" s="31">
        <f>211</f>
        <v>211</v>
      </c>
      <c r="BH211" s="15">
        <f>G211*AO211</f>
        <v>0</v>
      </c>
      <c r="BI211" s="15">
        <f>G211*AP211</f>
        <v>0</v>
      </c>
      <c r="BJ211" s="15">
        <f>G211*H211</f>
        <v>0</v>
      </c>
    </row>
    <row r="212" spans="1:62" x14ac:dyDescent="0.2">
      <c r="A212" s="4" t="s">
        <v>157</v>
      </c>
      <c r="B212" s="4" t="s">
        <v>217</v>
      </c>
      <c r="C212" s="136" t="s">
        <v>444</v>
      </c>
      <c r="D212" s="137"/>
      <c r="E212" s="137"/>
      <c r="F212" s="4" t="s">
        <v>459</v>
      </c>
      <c r="G212" s="65">
        <v>385.22500000000002</v>
      </c>
      <c r="H212" s="15">
        <v>0</v>
      </c>
      <c r="I212" s="15">
        <f>G212*AO212</f>
        <v>0</v>
      </c>
      <c r="J212" s="15">
        <f>G212*AP212</f>
        <v>0</v>
      </c>
      <c r="K212" s="15">
        <f>G212*H212</f>
        <v>0</v>
      </c>
      <c r="L212" s="26" t="s">
        <v>476</v>
      </c>
      <c r="Z212" s="31">
        <f>IF(AQ212="5",BJ212,0)</f>
        <v>0</v>
      </c>
      <c r="AB212" s="31">
        <f>IF(AQ212="1",BH212,0)</f>
        <v>0</v>
      </c>
      <c r="AC212" s="31">
        <f>IF(AQ212="1",BI212,0)</f>
        <v>0</v>
      </c>
      <c r="AD212" s="31">
        <f>IF(AQ212="7",BH212,0)</f>
        <v>0</v>
      </c>
      <c r="AE212" s="31">
        <f>IF(AQ212="7",BI212,0)</f>
        <v>0</v>
      </c>
      <c r="AF212" s="31">
        <f>IF(AQ212="2",BH212,0)</f>
        <v>0</v>
      </c>
      <c r="AG212" s="31">
        <f>IF(AQ212="2",BI212,0)</f>
        <v>0</v>
      </c>
      <c r="AH212" s="31">
        <f>IF(AQ212="0",BJ212,0)</f>
        <v>0</v>
      </c>
      <c r="AI212" s="25" t="s">
        <v>488</v>
      </c>
      <c r="AJ212" s="15">
        <f>IF(AN212=0,K212,0)</f>
        <v>0</v>
      </c>
      <c r="AK212" s="15">
        <f>IF(AN212=15,K212,0)</f>
        <v>0</v>
      </c>
      <c r="AL212" s="15">
        <f>IF(AN212=21,K212,0)</f>
        <v>0</v>
      </c>
      <c r="AN212" s="31">
        <v>21</v>
      </c>
      <c r="AO212" s="31">
        <f>H212*0.302946413951204</f>
        <v>0</v>
      </c>
      <c r="AP212" s="31">
        <f>H212*(1-0.302946413951204)</f>
        <v>0</v>
      </c>
      <c r="AQ212" s="26" t="s">
        <v>13</v>
      </c>
      <c r="AV212" s="31">
        <f>AW212+AX212</f>
        <v>0</v>
      </c>
      <c r="AW212" s="31">
        <f>G212*AO212</f>
        <v>0</v>
      </c>
      <c r="AX212" s="31">
        <f>G212*AP212</f>
        <v>0</v>
      </c>
      <c r="AY212" s="32" t="s">
        <v>508</v>
      </c>
      <c r="AZ212" s="32" t="s">
        <v>538</v>
      </c>
      <c r="BA212" s="25" t="s">
        <v>542</v>
      </c>
      <c r="BC212" s="31">
        <f>AW212+AX212</f>
        <v>0</v>
      </c>
      <c r="BD212" s="31">
        <f>H212/(100-BE212)*100</f>
        <v>0</v>
      </c>
      <c r="BE212" s="31">
        <v>0</v>
      </c>
      <c r="BF212" s="31">
        <f>212</f>
        <v>212</v>
      </c>
      <c r="BH212" s="15">
        <f>G212*AO212</f>
        <v>0</v>
      </c>
      <c r="BI212" s="15">
        <f>G212*AP212</f>
        <v>0</v>
      </c>
      <c r="BJ212" s="15">
        <f>G212*H212</f>
        <v>0</v>
      </c>
    </row>
    <row r="213" spans="1:62" x14ac:dyDescent="0.2">
      <c r="A213" s="75"/>
      <c r="B213" s="76"/>
      <c r="C213" s="153" t="s">
        <v>445</v>
      </c>
      <c r="D213" s="154"/>
      <c r="E213" s="154"/>
      <c r="F213" s="75" t="s">
        <v>6</v>
      </c>
      <c r="G213" s="75" t="s">
        <v>6</v>
      </c>
      <c r="H213" s="75" t="s">
        <v>6</v>
      </c>
      <c r="I213" s="77">
        <f>I214</f>
        <v>0</v>
      </c>
      <c r="J213" s="77">
        <f>J214</f>
        <v>0</v>
      </c>
      <c r="K213" s="77">
        <f>K214</f>
        <v>0</v>
      </c>
      <c r="L213" s="78"/>
    </row>
    <row r="214" spans="1:62" x14ac:dyDescent="0.2">
      <c r="A214" s="3"/>
      <c r="B214" s="11" t="s">
        <v>279</v>
      </c>
      <c r="C214" s="134" t="s">
        <v>445</v>
      </c>
      <c r="D214" s="135"/>
      <c r="E214" s="135"/>
      <c r="F214" s="3" t="s">
        <v>6</v>
      </c>
      <c r="G214" s="3" t="s">
        <v>6</v>
      </c>
      <c r="H214" s="3" t="s">
        <v>6</v>
      </c>
      <c r="I214" s="33">
        <f>SUM(I215:I219)</f>
        <v>0</v>
      </c>
      <c r="J214" s="33">
        <f>SUM(J215:J219)</f>
        <v>0</v>
      </c>
      <c r="K214" s="33">
        <f>SUM(K215:K219)</f>
        <v>0</v>
      </c>
      <c r="L214" s="25"/>
      <c r="AI214" s="25" t="s">
        <v>279</v>
      </c>
      <c r="AS214" s="33">
        <f>SUM(AJ215:AJ219)</f>
        <v>0</v>
      </c>
      <c r="AT214" s="33">
        <f>SUM(AK215:AK219)</f>
        <v>0</v>
      </c>
      <c r="AU214" s="33">
        <f>SUM(AL215:AL219)</f>
        <v>0</v>
      </c>
    </row>
    <row r="215" spans="1:62" x14ac:dyDescent="0.2">
      <c r="A215" s="4" t="s">
        <v>158</v>
      </c>
      <c r="B215" s="4" t="s">
        <v>280</v>
      </c>
      <c r="C215" s="136" t="s">
        <v>446</v>
      </c>
      <c r="D215" s="137"/>
      <c r="E215" s="137"/>
      <c r="F215" s="4" t="s">
        <v>456</v>
      </c>
      <c r="G215" s="65">
        <v>1</v>
      </c>
      <c r="H215" s="15">
        <v>0</v>
      </c>
      <c r="I215" s="15">
        <f>G215*AO215</f>
        <v>0</v>
      </c>
      <c r="J215" s="15">
        <f>G215*AP215</f>
        <v>0</v>
      </c>
      <c r="K215" s="15">
        <f>G215*H215</f>
        <v>0</v>
      </c>
      <c r="L215" s="26" t="s">
        <v>476</v>
      </c>
      <c r="Z215" s="31">
        <f>IF(AQ215="5",BJ215,0)</f>
        <v>0</v>
      </c>
      <c r="AB215" s="31">
        <f>IF(AQ215="1",BH215,0)</f>
        <v>0</v>
      </c>
      <c r="AC215" s="31">
        <f>IF(AQ215="1",BI215,0)</f>
        <v>0</v>
      </c>
      <c r="AD215" s="31">
        <f>IF(AQ215="7",BH215,0)</f>
        <v>0</v>
      </c>
      <c r="AE215" s="31">
        <f>IF(AQ215="7",BI215,0)</f>
        <v>0</v>
      </c>
      <c r="AF215" s="31">
        <f>IF(AQ215="2",BH215,0)</f>
        <v>0</v>
      </c>
      <c r="AG215" s="31">
        <f>IF(AQ215="2",BI215,0)</f>
        <v>0</v>
      </c>
      <c r="AH215" s="31">
        <f>IF(AQ215="0",BJ215,0)</f>
        <v>0</v>
      </c>
      <c r="AI215" s="25" t="s">
        <v>279</v>
      </c>
      <c r="AJ215" s="15">
        <f>IF(AN215=0,K215,0)</f>
        <v>0</v>
      </c>
      <c r="AK215" s="15">
        <f>IF(AN215=15,K215,0)</f>
        <v>0</v>
      </c>
      <c r="AL215" s="15">
        <f>IF(AN215=21,K215,0)</f>
        <v>0</v>
      </c>
      <c r="AN215" s="31">
        <v>21</v>
      </c>
      <c r="AO215" s="31">
        <f>H215*0</f>
        <v>0</v>
      </c>
      <c r="AP215" s="31">
        <f>H215*(1-0)</f>
        <v>0</v>
      </c>
      <c r="AQ215" s="26" t="s">
        <v>7</v>
      </c>
      <c r="AV215" s="31">
        <f>AW215+AX215</f>
        <v>0</v>
      </c>
      <c r="AW215" s="31">
        <f>G215*AO215</f>
        <v>0</v>
      </c>
      <c r="AX215" s="31">
        <f>G215*AP215</f>
        <v>0</v>
      </c>
      <c r="AY215" s="32" t="s">
        <v>516</v>
      </c>
      <c r="AZ215" s="32" t="s">
        <v>539</v>
      </c>
      <c r="BA215" s="25" t="s">
        <v>516</v>
      </c>
      <c r="BC215" s="31">
        <f>AW215+AX215</f>
        <v>0</v>
      </c>
      <c r="BD215" s="31">
        <f>H215/(100-BE215)*100</f>
        <v>0</v>
      </c>
      <c r="BE215" s="31">
        <v>0</v>
      </c>
      <c r="BF215" s="31">
        <f>215</f>
        <v>215</v>
      </c>
      <c r="BH215" s="15">
        <f>G215*AO215</f>
        <v>0</v>
      </c>
      <c r="BI215" s="15">
        <f>G215*AP215</f>
        <v>0</v>
      </c>
      <c r="BJ215" s="15">
        <f>G215*H215</f>
        <v>0</v>
      </c>
    </row>
    <row r="216" spans="1:62" x14ac:dyDescent="0.2">
      <c r="A216" s="4" t="s">
        <v>159</v>
      </c>
      <c r="B216" s="4" t="s">
        <v>281</v>
      </c>
      <c r="C216" s="136" t="s">
        <v>447</v>
      </c>
      <c r="D216" s="137"/>
      <c r="E216" s="137"/>
      <c r="F216" s="4" t="s">
        <v>456</v>
      </c>
      <c r="G216" s="65">
        <v>1</v>
      </c>
      <c r="H216" s="15">
        <v>0</v>
      </c>
      <c r="I216" s="15">
        <f>G216*AO216</f>
        <v>0</v>
      </c>
      <c r="J216" s="15">
        <f>G216*AP216</f>
        <v>0</v>
      </c>
      <c r="K216" s="15">
        <f>G216*H216</f>
        <v>0</v>
      </c>
      <c r="L216" s="26" t="s">
        <v>476</v>
      </c>
      <c r="Z216" s="31">
        <f>IF(AQ216="5",BJ216,0)</f>
        <v>0</v>
      </c>
      <c r="AB216" s="31">
        <f>IF(AQ216="1",BH216,0)</f>
        <v>0</v>
      </c>
      <c r="AC216" s="31">
        <f>IF(AQ216="1",BI216,0)</f>
        <v>0</v>
      </c>
      <c r="AD216" s="31">
        <f>IF(AQ216="7",BH216,0)</f>
        <v>0</v>
      </c>
      <c r="AE216" s="31">
        <f>IF(AQ216="7",BI216,0)</f>
        <v>0</v>
      </c>
      <c r="AF216" s="31">
        <f>IF(AQ216="2",BH216,0)</f>
        <v>0</v>
      </c>
      <c r="AG216" s="31">
        <f>IF(AQ216="2",BI216,0)</f>
        <v>0</v>
      </c>
      <c r="AH216" s="31">
        <f>IF(AQ216="0",BJ216,0)</f>
        <v>0</v>
      </c>
      <c r="AI216" s="25" t="s">
        <v>279</v>
      </c>
      <c r="AJ216" s="15">
        <f>IF(AN216=0,K216,0)</f>
        <v>0</v>
      </c>
      <c r="AK216" s="15">
        <f>IF(AN216=15,K216,0)</f>
        <v>0</v>
      </c>
      <c r="AL216" s="15">
        <f>IF(AN216=21,K216,0)</f>
        <v>0</v>
      </c>
      <c r="AN216" s="31">
        <v>21</v>
      </c>
      <c r="AO216" s="31">
        <f>H216*0</f>
        <v>0</v>
      </c>
      <c r="AP216" s="31">
        <f>H216*(1-0)</f>
        <v>0</v>
      </c>
      <c r="AQ216" s="26" t="s">
        <v>7</v>
      </c>
      <c r="AV216" s="31">
        <f>AW216+AX216</f>
        <v>0</v>
      </c>
      <c r="AW216" s="31">
        <f>G216*AO216</f>
        <v>0</v>
      </c>
      <c r="AX216" s="31">
        <f>G216*AP216</f>
        <v>0</v>
      </c>
      <c r="AY216" s="32" t="s">
        <v>516</v>
      </c>
      <c r="AZ216" s="32" t="s">
        <v>539</v>
      </c>
      <c r="BA216" s="25" t="s">
        <v>516</v>
      </c>
      <c r="BC216" s="31">
        <f>AW216+AX216</f>
        <v>0</v>
      </c>
      <c r="BD216" s="31">
        <f>H216/(100-BE216)*100</f>
        <v>0</v>
      </c>
      <c r="BE216" s="31">
        <v>0</v>
      </c>
      <c r="BF216" s="31">
        <f>216</f>
        <v>216</v>
      </c>
      <c r="BH216" s="15">
        <f>G216*AO216</f>
        <v>0</v>
      </c>
      <c r="BI216" s="15">
        <f>G216*AP216</f>
        <v>0</v>
      </c>
      <c r="BJ216" s="15">
        <f>G216*H216</f>
        <v>0</v>
      </c>
    </row>
    <row r="217" spans="1:62" x14ac:dyDescent="0.2">
      <c r="A217" s="4" t="s">
        <v>160</v>
      </c>
      <c r="B217" s="4" t="s">
        <v>282</v>
      </c>
      <c r="C217" s="136" t="s">
        <v>448</v>
      </c>
      <c r="D217" s="137"/>
      <c r="E217" s="137"/>
      <c r="F217" s="4" t="s">
        <v>456</v>
      </c>
      <c r="G217" s="65">
        <v>1</v>
      </c>
      <c r="H217" s="15">
        <v>0</v>
      </c>
      <c r="I217" s="15">
        <f>G217*AO217</f>
        <v>0</v>
      </c>
      <c r="J217" s="15">
        <f>G217*AP217</f>
        <v>0</v>
      </c>
      <c r="K217" s="15">
        <f>G217*H217</f>
        <v>0</v>
      </c>
      <c r="L217" s="26" t="s">
        <v>476</v>
      </c>
      <c r="Z217" s="31">
        <f>IF(AQ217="5",BJ217,0)</f>
        <v>0</v>
      </c>
      <c r="AB217" s="31">
        <f>IF(AQ217="1",BH217,0)</f>
        <v>0</v>
      </c>
      <c r="AC217" s="31">
        <f>IF(AQ217="1",BI217,0)</f>
        <v>0</v>
      </c>
      <c r="AD217" s="31">
        <f>IF(AQ217="7",BH217,0)</f>
        <v>0</v>
      </c>
      <c r="AE217" s="31">
        <f>IF(AQ217="7",BI217,0)</f>
        <v>0</v>
      </c>
      <c r="AF217" s="31">
        <f>IF(AQ217="2",BH217,0)</f>
        <v>0</v>
      </c>
      <c r="AG217" s="31">
        <f>IF(AQ217="2",BI217,0)</f>
        <v>0</v>
      </c>
      <c r="AH217" s="31">
        <f>IF(AQ217="0",BJ217,0)</f>
        <v>0</v>
      </c>
      <c r="AI217" s="25" t="s">
        <v>279</v>
      </c>
      <c r="AJ217" s="15">
        <f>IF(AN217=0,K217,0)</f>
        <v>0</v>
      </c>
      <c r="AK217" s="15">
        <f>IF(AN217=15,K217,0)</f>
        <v>0</v>
      </c>
      <c r="AL217" s="15">
        <f>IF(AN217=21,K217,0)</f>
        <v>0</v>
      </c>
      <c r="AN217" s="31">
        <v>21</v>
      </c>
      <c r="AO217" s="31">
        <f>H217*0</f>
        <v>0</v>
      </c>
      <c r="AP217" s="31">
        <f>H217*(1-0)</f>
        <v>0</v>
      </c>
      <c r="AQ217" s="26" t="s">
        <v>7</v>
      </c>
      <c r="AV217" s="31">
        <f>AW217+AX217</f>
        <v>0</v>
      </c>
      <c r="AW217" s="31">
        <f>G217*AO217</f>
        <v>0</v>
      </c>
      <c r="AX217" s="31">
        <f>G217*AP217</f>
        <v>0</v>
      </c>
      <c r="AY217" s="32" t="s">
        <v>516</v>
      </c>
      <c r="AZ217" s="32" t="s">
        <v>539</v>
      </c>
      <c r="BA217" s="25" t="s">
        <v>516</v>
      </c>
      <c r="BC217" s="31">
        <f>AW217+AX217</f>
        <v>0</v>
      </c>
      <c r="BD217" s="31">
        <f>H217/(100-BE217)*100</f>
        <v>0</v>
      </c>
      <c r="BE217" s="31">
        <v>0</v>
      </c>
      <c r="BF217" s="31">
        <f>217</f>
        <v>217</v>
      </c>
      <c r="BH217" s="15">
        <f>G217*AO217</f>
        <v>0</v>
      </c>
      <c r="BI217" s="15">
        <f>G217*AP217</f>
        <v>0</v>
      </c>
      <c r="BJ217" s="15">
        <f>G217*H217</f>
        <v>0</v>
      </c>
    </row>
    <row r="218" spans="1:62" x14ac:dyDescent="0.2">
      <c r="A218" s="4" t="s">
        <v>161</v>
      </c>
      <c r="B218" s="4" t="s">
        <v>283</v>
      </c>
      <c r="C218" s="136" t="s">
        <v>449</v>
      </c>
      <c r="D218" s="137"/>
      <c r="E218" s="137"/>
      <c r="F218" s="4" t="s">
        <v>456</v>
      </c>
      <c r="G218" s="65">
        <v>1</v>
      </c>
      <c r="H218" s="15">
        <v>0</v>
      </c>
      <c r="I218" s="15">
        <f>G218*AO218</f>
        <v>0</v>
      </c>
      <c r="J218" s="15">
        <f>G218*AP218</f>
        <v>0</v>
      </c>
      <c r="K218" s="15">
        <f>G218*H218</f>
        <v>0</v>
      </c>
      <c r="L218" s="26" t="s">
        <v>476</v>
      </c>
      <c r="Z218" s="31">
        <f>IF(AQ218="5",BJ218,0)</f>
        <v>0</v>
      </c>
      <c r="AB218" s="31">
        <f>IF(AQ218="1",BH218,0)</f>
        <v>0</v>
      </c>
      <c r="AC218" s="31">
        <f>IF(AQ218="1",BI218,0)</f>
        <v>0</v>
      </c>
      <c r="AD218" s="31">
        <f>IF(AQ218="7",BH218,0)</f>
        <v>0</v>
      </c>
      <c r="AE218" s="31">
        <f>IF(AQ218="7",BI218,0)</f>
        <v>0</v>
      </c>
      <c r="AF218" s="31">
        <f>IF(AQ218="2",BH218,0)</f>
        <v>0</v>
      </c>
      <c r="AG218" s="31">
        <f>IF(AQ218="2",BI218,0)</f>
        <v>0</v>
      </c>
      <c r="AH218" s="31">
        <f>IF(AQ218="0",BJ218,0)</f>
        <v>0</v>
      </c>
      <c r="AI218" s="25" t="s">
        <v>279</v>
      </c>
      <c r="AJ218" s="15">
        <f>IF(AN218=0,K218,0)</f>
        <v>0</v>
      </c>
      <c r="AK218" s="15">
        <f>IF(AN218=15,K218,0)</f>
        <v>0</v>
      </c>
      <c r="AL218" s="15">
        <f>IF(AN218=21,K218,0)</f>
        <v>0</v>
      </c>
      <c r="AN218" s="31">
        <v>21</v>
      </c>
      <c r="AO218" s="31">
        <f>H218*0</f>
        <v>0</v>
      </c>
      <c r="AP218" s="31">
        <f>H218*(1-0)</f>
        <v>0</v>
      </c>
      <c r="AQ218" s="26" t="s">
        <v>7</v>
      </c>
      <c r="AV218" s="31">
        <f>AW218+AX218</f>
        <v>0</v>
      </c>
      <c r="AW218" s="31">
        <f>G218*AO218</f>
        <v>0</v>
      </c>
      <c r="AX218" s="31">
        <f>G218*AP218</f>
        <v>0</v>
      </c>
      <c r="AY218" s="32" t="s">
        <v>516</v>
      </c>
      <c r="AZ218" s="32" t="s">
        <v>539</v>
      </c>
      <c r="BA218" s="25" t="s">
        <v>516</v>
      </c>
      <c r="BC218" s="31">
        <f>AW218+AX218</f>
        <v>0</v>
      </c>
      <c r="BD218" s="31">
        <f>H218/(100-BE218)*100</f>
        <v>0</v>
      </c>
      <c r="BE218" s="31">
        <v>0</v>
      </c>
      <c r="BF218" s="31">
        <f>218</f>
        <v>218</v>
      </c>
      <c r="BH218" s="15">
        <f>G218*AO218</f>
        <v>0</v>
      </c>
      <c r="BI218" s="15">
        <f>G218*AP218</f>
        <v>0</v>
      </c>
      <c r="BJ218" s="15">
        <f>G218*H218</f>
        <v>0</v>
      </c>
    </row>
    <row r="219" spans="1:62" x14ac:dyDescent="0.2">
      <c r="A219" s="6" t="s">
        <v>162</v>
      </c>
      <c r="B219" s="6" t="s">
        <v>284</v>
      </c>
      <c r="C219" s="155" t="s">
        <v>450</v>
      </c>
      <c r="D219" s="156"/>
      <c r="E219" s="156"/>
      <c r="F219" s="6" t="s">
        <v>456</v>
      </c>
      <c r="G219" s="70">
        <v>1</v>
      </c>
      <c r="H219" s="17">
        <v>0</v>
      </c>
      <c r="I219" s="17">
        <f>G219*AO219</f>
        <v>0</v>
      </c>
      <c r="J219" s="17">
        <f>G219*AP219</f>
        <v>0</v>
      </c>
      <c r="K219" s="17">
        <f>G219*H219</f>
        <v>0</v>
      </c>
      <c r="L219" s="28" t="s">
        <v>476</v>
      </c>
      <c r="Z219" s="31">
        <f>IF(AQ219="5",BJ219,0)</f>
        <v>0</v>
      </c>
      <c r="AB219" s="31">
        <f>IF(AQ219="1",BH219,0)</f>
        <v>0</v>
      </c>
      <c r="AC219" s="31">
        <f>IF(AQ219="1",BI219,0)</f>
        <v>0</v>
      </c>
      <c r="AD219" s="31">
        <f>IF(AQ219="7",BH219,0)</f>
        <v>0</v>
      </c>
      <c r="AE219" s="31">
        <f>IF(AQ219="7",BI219,0)</f>
        <v>0</v>
      </c>
      <c r="AF219" s="31">
        <f>IF(AQ219="2",BH219,0)</f>
        <v>0</v>
      </c>
      <c r="AG219" s="31">
        <f>IF(AQ219="2",BI219,0)</f>
        <v>0</v>
      </c>
      <c r="AH219" s="31">
        <f>IF(AQ219="0",BJ219,0)</f>
        <v>0</v>
      </c>
      <c r="AI219" s="25" t="s">
        <v>279</v>
      </c>
      <c r="AJ219" s="15">
        <f>IF(AN219=0,K219,0)</f>
        <v>0</v>
      </c>
      <c r="AK219" s="15">
        <f>IF(AN219=15,K219,0)</f>
        <v>0</v>
      </c>
      <c r="AL219" s="15">
        <f>IF(AN219=21,K219,0)</f>
        <v>0</v>
      </c>
      <c r="AN219" s="31">
        <v>21</v>
      </c>
      <c r="AO219" s="31">
        <f>H219*0</f>
        <v>0</v>
      </c>
      <c r="AP219" s="31">
        <f>H219*(1-0)</f>
        <v>0</v>
      </c>
      <c r="AQ219" s="26" t="s">
        <v>7</v>
      </c>
      <c r="AV219" s="31">
        <f>AW219+AX219</f>
        <v>0</v>
      </c>
      <c r="AW219" s="31">
        <f>G219*AO219</f>
        <v>0</v>
      </c>
      <c r="AX219" s="31">
        <f>G219*AP219</f>
        <v>0</v>
      </c>
      <c r="AY219" s="32" t="s">
        <v>516</v>
      </c>
      <c r="AZ219" s="32" t="s">
        <v>539</v>
      </c>
      <c r="BA219" s="25" t="s">
        <v>516</v>
      </c>
      <c r="BC219" s="31">
        <f>AW219+AX219</f>
        <v>0</v>
      </c>
      <c r="BD219" s="31">
        <f>H219/(100-BE219)*100</f>
        <v>0</v>
      </c>
      <c r="BE219" s="31">
        <v>0</v>
      </c>
      <c r="BF219" s="31">
        <f>219</f>
        <v>219</v>
      </c>
      <c r="BH219" s="15">
        <f>G219*AO219</f>
        <v>0</v>
      </c>
      <c r="BI219" s="15">
        <f>G219*AP219</f>
        <v>0</v>
      </c>
      <c r="BJ219" s="15">
        <f>G219*H219</f>
        <v>0</v>
      </c>
    </row>
    <row r="220" spans="1:62" x14ac:dyDescent="0.2">
      <c r="A220" s="7"/>
      <c r="B220" s="7"/>
      <c r="C220" s="7"/>
      <c r="D220" s="7"/>
      <c r="E220" s="7"/>
      <c r="F220" s="7"/>
      <c r="G220" s="7"/>
      <c r="H220" s="7"/>
      <c r="I220" s="157" t="s">
        <v>471</v>
      </c>
      <c r="J220" s="90"/>
      <c r="K220" s="34">
        <f>K13+K15+K17+K21+K24+K28+K30+K34+K36+K39+K44+K47+K49+K53+K55+K58+K66+K68+K72+K76+K85+K88+K90+K95+K98+K106+K114+K116+K118+K122+K128+K133+K136+K142+K147+K159+K161+K165+K176+K186+K191+K195+K198+K206+K208+K214</f>
        <v>0</v>
      </c>
      <c r="L220" s="7"/>
    </row>
    <row r="221" spans="1:62" ht="11.25" customHeight="1" x14ac:dyDescent="0.2">
      <c r="A221" s="8" t="s">
        <v>163</v>
      </c>
    </row>
    <row r="222" spans="1:62" x14ac:dyDescent="0.2">
      <c r="A222" s="97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</row>
  </sheetData>
  <mergeCells count="238">
    <mergeCell ref="C219:E219"/>
    <mergeCell ref="I220:J220"/>
    <mergeCell ref="A222:L222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L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L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3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8.85546875" customWidth="1"/>
    <col min="5" max="5" width="14.5703125" customWidth="1"/>
    <col min="6" max="6" width="5.7109375" customWidth="1"/>
    <col min="7" max="7" width="11.5703125" customWidth="1"/>
    <col min="8" max="8" width="18.140625" hidden="1" customWidth="1"/>
  </cols>
  <sheetData>
    <row r="1" spans="1:9" ht="72.95" customHeight="1" x14ac:dyDescent="0.35">
      <c r="A1" s="122" t="s">
        <v>554</v>
      </c>
      <c r="B1" s="84"/>
      <c r="C1" s="84"/>
      <c r="D1" s="84"/>
      <c r="E1" s="84"/>
      <c r="F1" s="84"/>
      <c r="G1" s="84"/>
      <c r="H1" s="84"/>
    </row>
    <row r="2" spans="1:9" x14ac:dyDescent="0.2">
      <c r="A2" s="85" t="s">
        <v>1</v>
      </c>
      <c r="B2" s="86"/>
      <c r="C2" s="89" t="str">
        <f>'Stavební rozpočet'!C2</f>
        <v>TECHNICKÉ ŘEŠENÍ VLHKOSTNÍCH PORUCH SUTERÉNNÍCH ZDÍ</v>
      </c>
      <c r="D2" s="90"/>
      <c r="E2" s="92" t="s">
        <v>462</v>
      </c>
      <c r="F2" s="92" t="str">
        <f>'Stavební rozpočet'!I2</f>
        <v> </v>
      </c>
      <c r="G2" s="86"/>
      <c r="H2" s="123"/>
      <c r="I2" s="29"/>
    </row>
    <row r="3" spans="1:9" x14ac:dyDescent="0.2">
      <c r="A3" s="87"/>
      <c r="B3" s="88"/>
      <c r="C3" s="91"/>
      <c r="D3" s="91"/>
      <c r="E3" s="88"/>
      <c r="F3" s="88"/>
      <c r="G3" s="88"/>
      <c r="H3" s="94"/>
      <c r="I3" s="29"/>
    </row>
    <row r="4" spans="1:9" x14ac:dyDescent="0.2">
      <c r="A4" s="96" t="s">
        <v>2</v>
      </c>
      <c r="B4" s="88"/>
      <c r="C4" s="97" t="str">
        <f>'Stavební rozpočet'!C4</f>
        <v xml:space="preserve"> </v>
      </c>
      <c r="D4" s="88"/>
      <c r="E4" s="97" t="s">
        <v>463</v>
      </c>
      <c r="F4" s="97" t="str">
        <f>'Stavební rozpočet'!I4</f>
        <v> </v>
      </c>
      <c r="G4" s="88"/>
      <c r="H4" s="94"/>
      <c r="I4" s="29"/>
    </row>
    <row r="5" spans="1:9" x14ac:dyDescent="0.2">
      <c r="A5" s="87"/>
      <c r="B5" s="88"/>
      <c r="C5" s="88"/>
      <c r="D5" s="88"/>
      <c r="E5" s="88"/>
      <c r="F5" s="88"/>
      <c r="G5" s="88"/>
      <c r="H5" s="94"/>
      <c r="I5" s="29"/>
    </row>
    <row r="6" spans="1:9" x14ac:dyDescent="0.2">
      <c r="A6" s="96" t="s">
        <v>3</v>
      </c>
      <c r="B6" s="88"/>
      <c r="C6" s="97" t="str">
        <f>'Stavební rozpočet'!C6</f>
        <v>ZŠ U LESA, BOŽENY NĚMCOVÉ 539, NOVÝ BOR 473 01</v>
      </c>
      <c r="D6" s="88"/>
      <c r="E6" s="97" t="s">
        <v>464</v>
      </c>
      <c r="F6" s="97" t="str">
        <f>'Stavební rozpočet'!I6</f>
        <v> </v>
      </c>
      <c r="G6" s="88"/>
      <c r="H6" s="94"/>
      <c r="I6" s="29"/>
    </row>
    <row r="7" spans="1:9" x14ac:dyDescent="0.2">
      <c r="A7" s="87"/>
      <c r="B7" s="88"/>
      <c r="C7" s="88"/>
      <c r="D7" s="88"/>
      <c r="E7" s="88"/>
      <c r="F7" s="88"/>
      <c r="G7" s="88"/>
      <c r="H7" s="94"/>
      <c r="I7" s="29"/>
    </row>
    <row r="8" spans="1:9" x14ac:dyDescent="0.2">
      <c r="A8" s="96" t="s">
        <v>465</v>
      </c>
      <c r="B8" s="88"/>
      <c r="C8" s="97" t="str">
        <f>'Stavební rozpočet'!I8</f>
        <v> </v>
      </c>
      <c r="D8" s="88"/>
      <c r="E8" s="97" t="s">
        <v>454</v>
      </c>
      <c r="F8" s="97"/>
      <c r="G8" s="88"/>
      <c r="H8" s="94"/>
      <c r="I8" s="29"/>
    </row>
    <row r="9" spans="1:9" x14ac:dyDescent="0.2">
      <c r="A9" s="124"/>
      <c r="B9" s="125"/>
      <c r="C9" s="125"/>
      <c r="D9" s="125"/>
      <c r="E9" s="125"/>
      <c r="F9" s="125"/>
      <c r="G9" s="125"/>
      <c r="H9" s="126"/>
      <c r="I9" s="29"/>
    </row>
    <row r="10" spans="1:9" x14ac:dyDescent="0.2">
      <c r="A10" s="36" t="s">
        <v>5</v>
      </c>
      <c r="B10" s="41" t="s">
        <v>547</v>
      </c>
      <c r="C10" s="41" t="s">
        <v>164</v>
      </c>
      <c r="D10" s="127" t="s">
        <v>287</v>
      </c>
      <c r="E10" s="128"/>
      <c r="F10" s="41" t="s">
        <v>455</v>
      </c>
      <c r="G10" s="42" t="s">
        <v>461</v>
      </c>
      <c r="H10" s="35" t="s">
        <v>661</v>
      </c>
      <c r="I10" s="30"/>
    </row>
    <row r="11" spans="1:9" x14ac:dyDescent="0.2">
      <c r="A11" s="40"/>
      <c r="B11" s="40"/>
      <c r="C11" s="40" t="s">
        <v>17</v>
      </c>
      <c r="D11" s="160" t="s">
        <v>290</v>
      </c>
      <c r="E11" s="161"/>
      <c r="F11" s="40"/>
      <c r="G11" s="64"/>
      <c r="H11" s="43"/>
    </row>
    <row r="12" spans="1:9" x14ac:dyDescent="0.2">
      <c r="A12" s="4" t="s">
        <v>7</v>
      </c>
      <c r="B12" s="4" t="s">
        <v>486</v>
      </c>
      <c r="C12" s="4" t="s">
        <v>165</v>
      </c>
      <c r="D12" s="136" t="s">
        <v>291</v>
      </c>
      <c r="E12" s="137"/>
      <c r="F12" s="4" t="s">
        <v>456</v>
      </c>
      <c r="G12" s="65">
        <v>1</v>
      </c>
      <c r="H12" s="15">
        <v>0</v>
      </c>
    </row>
    <row r="13" spans="1:9" ht="12.2" customHeight="1" x14ac:dyDescent="0.2">
      <c r="D13" s="158" t="s">
        <v>555</v>
      </c>
      <c r="E13" s="159"/>
      <c r="F13" s="159"/>
      <c r="G13" s="44">
        <v>1</v>
      </c>
    </row>
    <row r="14" spans="1:9" x14ac:dyDescent="0.2">
      <c r="A14" s="4" t="s">
        <v>8</v>
      </c>
      <c r="B14" s="4" t="s">
        <v>487</v>
      </c>
      <c r="C14" s="4" t="s">
        <v>220</v>
      </c>
      <c r="D14" s="136" t="s">
        <v>362</v>
      </c>
      <c r="E14" s="137"/>
      <c r="F14" s="4" t="s">
        <v>459</v>
      </c>
      <c r="G14" s="65">
        <v>57.837000000000003</v>
      </c>
      <c r="H14" s="15">
        <v>0</v>
      </c>
    </row>
    <row r="15" spans="1:9" ht="12.2" customHeight="1" x14ac:dyDescent="0.2">
      <c r="D15" s="158" t="s">
        <v>556</v>
      </c>
      <c r="E15" s="159"/>
      <c r="F15" s="159"/>
      <c r="G15" s="44">
        <v>68.885000000000005</v>
      </c>
    </row>
    <row r="16" spans="1:9" ht="12.2" customHeight="1" x14ac:dyDescent="0.2">
      <c r="A16" s="4"/>
      <c r="B16" s="4"/>
      <c r="C16" s="4"/>
      <c r="D16" s="158" t="s">
        <v>557</v>
      </c>
      <c r="E16" s="159"/>
      <c r="F16" s="158"/>
      <c r="G16" s="66">
        <v>-11.048</v>
      </c>
      <c r="H16" s="26"/>
    </row>
    <row r="17" spans="1:8" x14ac:dyDescent="0.2">
      <c r="A17" s="4" t="s">
        <v>9</v>
      </c>
      <c r="B17" s="4" t="s">
        <v>487</v>
      </c>
      <c r="C17" s="4" t="s">
        <v>221</v>
      </c>
      <c r="D17" s="136" t="s">
        <v>363</v>
      </c>
      <c r="E17" s="137"/>
      <c r="F17" s="4" t="s">
        <v>459</v>
      </c>
      <c r="G17" s="65">
        <v>11.048</v>
      </c>
      <c r="H17" s="15">
        <v>0</v>
      </c>
    </row>
    <row r="18" spans="1:8" ht="12.2" customHeight="1" x14ac:dyDescent="0.2">
      <c r="D18" s="158" t="s">
        <v>558</v>
      </c>
      <c r="E18" s="159"/>
      <c r="F18" s="159"/>
      <c r="G18" s="44">
        <v>11.048</v>
      </c>
    </row>
    <row r="19" spans="1:8" x14ac:dyDescent="0.2">
      <c r="A19" s="11"/>
      <c r="B19" s="11"/>
      <c r="C19" s="11" t="s">
        <v>18</v>
      </c>
      <c r="D19" s="134" t="s">
        <v>292</v>
      </c>
      <c r="E19" s="135"/>
      <c r="F19" s="11"/>
      <c r="G19" s="67"/>
      <c r="H19" s="25"/>
    </row>
    <row r="20" spans="1:8" x14ac:dyDescent="0.2">
      <c r="A20" s="4" t="s">
        <v>10</v>
      </c>
      <c r="B20" s="4" t="s">
        <v>486</v>
      </c>
      <c r="C20" s="4" t="s">
        <v>166</v>
      </c>
      <c r="D20" s="136" t="s">
        <v>293</v>
      </c>
      <c r="E20" s="137"/>
      <c r="F20" s="4" t="s">
        <v>457</v>
      </c>
      <c r="G20" s="65">
        <v>4.2</v>
      </c>
      <c r="H20" s="15">
        <v>0</v>
      </c>
    </row>
    <row r="21" spans="1:8" ht="12.2" customHeight="1" x14ac:dyDescent="0.2">
      <c r="D21" s="158" t="s">
        <v>559</v>
      </c>
      <c r="E21" s="159"/>
      <c r="F21" s="159"/>
      <c r="G21" s="44">
        <v>4.2</v>
      </c>
    </row>
    <row r="22" spans="1:8" x14ac:dyDescent="0.2">
      <c r="A22" s="11"/>
      <c r="B22" s="11"/>
      <c r="C22" s="11" t="s">
        <v>19</v>
      </c>
      <c r="D22" s="134" t="s">
        <v>294</v>
      </c>
      <c r="E22" s="135"/>
      <c r="F22" s="11"/>
      <c r="G22" s="67"/>
      <c r="H22" s="25"/>
    </row>
    <row r="23" spans="1:8" x14ac:dyDescent="0.2">
      <c r="A23" s="4" t="s">
        <v>11</v>
      </c>
      <c r="B23" s="4" t="s">
        <v>486</v>
      </c>
      <c r="C23" s="4" t="s">
        <v>167</v>
      </c>
      <c r="D23" s="136" t="s">
        <v>295</v>
      </c>
      <c r="E23" s="137"/>
      <c r="F23" s="4" t="s">
        <v>457</v>
      </c>
      <c r="G23" s="65">
        <v>4.5359999999999996</v>
      </c>
      <c r="H23" s="15">
        <v>0</v>
      </c>
    </row>
    <row r="24" spans="1:8" ht="12.2" customHeight="1" x14ac:dyDescent="0.2">
      <c r="D24" s="158" t="s">
        <v>560</v>
      </c>
      <c r="E24" s="159"/>
      <c r="F24" s="159"/>
      <c r="G24" s="44">
        <v>4.5359999999999996</v>
      </c>
    </row>
    <row r="25" spans="1:8" x14ac:dyDescent="0.2">
      <c r="A25" s="4" t="s">
        <v>12</v>
      </c>
      <c r="B25" s="4" t="s">
        <v>486</v>
      </c>
      <c r="C25" s="4" t="s">
        <v>169</v>
      </c>
      <c r="D25" s="136" t="s">
        <v>297</v>
      </c>
      <c r="E25" s="137"/>
      <c r="F25" s="4" t="s">
        <v>457</v>
      </c>
      <c r="G25" s="65">
        <v>4.5359999999999996</v>
      </c>
      <c r="H25" s="15">
        <v>0</v>
      </c>
    </row>
    <row r="26" spans="1:8" ht="12.2" customHeight="1" x14ac:dyDescent="0.2">
      <c r="D26" s="158" t="s">
        <v>561</v>
      </c>
      <c r="E26" s="159"/>
      <c r="F26" s="159"/>
      <c r="G26" s="44">
        <v>4.5359999999999996</v>
      </c>
    </row>
    <row r="27" spans="1:8" x14ac:dyDescent="0.2">
      <c r="A27" s="11"/>
      <c r="B27" s="11"/>
      <c r="C27" s="11" t="s">
        <v>22</v>
      </c>
      <c r="D27" s="134" t="s">
        <v>298</v>
      </c>
      <c r="E27" s="135"/>
      <c r="F27" s="11"/>
      <c r="G27" s="67"/>
      <c r="H27" s="25"/>
    </row>
    <row r="28" spans="1:8" x14ac:dyDescent="0.2">
      <c r="A28" s="4" t="s">
        <v>13</v>
      </c>
      <c r="B28" s="4" t="s">
        <v>486</v>
      </c>
      <c r="C28" s="4" t="s">
        <v>170</v>
      </c>
      <c r="D28" s="136" t="s">
        <v>299</v>
      </c>
      <c r="E28" s="137"/>
      <c r="F28" s="4" t="s">
        <v>457</v>
      </c>
      <c r="G28" s="65">
        <v>7.7359999999999998</v>
      </c>
      <c r="H28" s="15">
        <v>0</v>
      </c>
    </row>
    <row r="29" spans="1:8" ht="12.2" customHeight="1" x14ac:dyDescent="0.2">
      <c r="D29" s="158" t="s">
        <v>562</v>
      </c>
      <c r="E29" s="159"/>
      <c r="F29" s="159"/>
      <c r="G29" s="44">
        <v>7.7359999999999998</v>
      </c>
    </row>
    <row r="30" spans="1:8" x14ac:dyDescent="0.2">
      <c r="A30" s="4" t="s">
        <v>14</v>
      </c>
      <c r="B30" s="4" t="s">
        <v>486</v>
      </c>
      <c r="C30" s="4" t="s">
        <v>171</v>
      </c>
      <c r="D30" s="136" t="s">
        <v>300</v>
      </c>
      <c r="E30" s="137"/>
      <c r="F30" s="4" t="s">
        <v>457</v>
      </c>
      <c r="G30" s="65">
        <v>7.7359999999999998</v>
      </c>
      <c r="H30" s="15">
        <v>0</v>
      </c>
    </row>
    <row r="31" spans="1:8" ht="12.2" customHeight="1" x14ac:dyDescent="0.2">
      <c r="D31" s="158" t="s">
        <v>562</v>
      </c>
      <c r="E31" s="159"/>
      <c r="F31" s="159"/>
      <c r="G31" s="44">
        <v>7.7359999999999998</v>
      </c>
    </row>
    <row r="32" spans="1:8" x14ac:dyDescent="0.2">
      <c r="A32" s="11"/>
      <c r="B32" s="11"/>
      <c r="C32" s="11" t="s">
        <v>23</v>
      </c>
      <c r="D32" s="134" t="s">
        <v>301</v>
      </c>
      <c r="E32" s="135"/>
      <c r="F32" s="11"/>
      <c r="G32" s="67"/>
      <c r="H32" s="25"/>
    </row>
    <row r="33" spans="1:8" x14ac:dyDescent="0.2">
      <c r="A33" s="4" t="s">
        <v>15</v>
      </c>
      <c r="B33" s="4" t="s">
        <v>486</v>
      </c>
      <c r="C33" s="4" t="s">
        <v>172</v>
      </c>
      <c r="D33" s="136" t="s">
        <v>302</v>
      </c>
      <c r="E33" s="137"/>
      <c r="F33" s="4" t="s">
        <v>457</v>
      </c>
      <c r="G33" s="65">
        <v>7.7359999999999998</v>
      </c>
      <c r="H33" s="15">
        <v>0</v>
      </c>
    </row>
    <row r="34" spans="1:8" ht="12.2" customHeight="1" x14ac:dyDescent="0.2">
      <c r="D34" s="158" t="s">
        <v>562</v>
      </c>
      <c r="E34" s="159"/>
      <c r="F34" s="159"/>
      <c r="G34" s="44">
        <v>7.7359999999999998</v>
      </c>
    </row>
    <row r="35" spans="1:8" x14ac:dyDescent="0.2">
      <c r="A35" s="4" t="s">
        <v>16</v>
      </c>
      <c r="B35" s="4" t="s">
        <v>486</v>
      </c>
      <c r="C35" s="4" t="s">
        <v>173</v>
      </c>
      <c r="D35" s="136" t="s">
        <v>303</v>
      </c>
      <c r="E35" s="137"/>
      <c r="F35" s="4" t="s">
        <v>458</v>
      </c>
      <c r="G35" s="65">
        <v>5.6</v>
      </c>
      <c r="H35" s="15">
        <v>0</v>
      </c>
    </row>
    <row r="36" spans="1:8" ht="12.2" customHeight="1" x14ac:dyDescent="0.2">
      <c r="D36" s="158" t="s">
        <v>563</v>
      </c>
      <c r="E36" s="159"/>
      <c r="F36" s="159"/>
      <c r="G36" s="44">
        <v>5.6</v>
      </c>
    </row>
    <row r="37" spans="1:8" x14ac:dyDescent="0.2">
      <c r="A37" s="4" t="s">
        <v>17</v>
      </c>
      <c r="B37" s="4" t="s">
        <v>486</v>
      </c>
      <c r="C37" s="4" t="s">
        <v>174</v>
      </c>
      <c r="D37" s="136" t="s">
        <v>304</v>
      </c>
      <c r="E37" s="137"/>
      <c r="F37" s="4" t="s">
        <v>458</v>
      </c>
      <c r="G37" s="65">
        <v>7.9379999999999997</v>
      </c>
      <c r="H37" s="15">
        <v>0</v>
      </c>
    </row>
    <row r="38" spans="1:8" ht="12.2" customHeight="1" x14ac:dyDescent="0.2">
      <c r="D38" s="158" t="s">
        <v>564</v>
      </c>
      <c r="E38" s="159"/>
      <c r="F38" s="159"/>
      <c r="G38" s="44">
        <v>7.9379999999999997</v>
      </c>
    </row>
    <row r="39" spans="1:8" x14ac:dyDescent="0.2">
      <c r="A39" s="11"/>
      <c r="B39" s="11"/>
      <c r="C39" s="11" t="s">
        <v>24</v>
      </c>
      <c r="D39" s="134" t="s">
        <v>305</v>
      </c>
      <c r="E39" s="135"/>
      <c r="F39" s="11"/>
      <c r="G39" s="67"/>
      <c r="H39" s="25"/>
    </row>
    <row r="40" spans="1:8" x14ac:dyDescent="0.2">
      <c r="A40" s="4" t="s">
        <v>18</v>
      </c>
      <c r="B40" s="4" t="s">
        <v>486</v>
      </c>
      <c r="C40" s="4" t="s">
        <v>175</v>
      </c>
      <c r="D40" s="136" t="s">
        <v>306</v>
      </c>
      <c r="E40" s="137"/>
      <c r="F40" s="4" t="s">
        <v>459</v>
      </c>
      <c r="G40" s="65">
        <v>5</v>
      </c>
      <c r="H40" s="15">
        <v>0</v>
      </c>
    </row>
    <row r="41" spans="1:8" ht="12.2" customHeight="1" x14ac:dyDescent="0.2">
      <c r="D41" s="158" t="s">
        <v>565</v>
      </c>
      <c r="E41" s="159"/>
      <c r="F41" s="159"/>
      <c r="G41" s="44">
        <v>5</v>
      </c>
    </row>
    <row r="42" spans="1:8" x14ac:dyDescent="0.2">
      <c r="A42" s="11"/>
      <c r="B42" s="11"/>
      <c r="C42" s="11" t="s">
        <v>27</v>
      </c>
      <c r="D42" s="134" t="s">
        <v>307</v>
      </c>
      <c r="E42" s="135"/>
      <c r="F42" s="11"/>
      <c r="G42" s="67"/>
      <c r="H42" s="25"/>
    </row>
    <row r="43" spans="1:8" x14ac:dyDescent="0.2">
      <c r="A43" s="4" t="s">
        <v>19</v>
      </c>
      <c r="B43" s="4" t="s">
        <v>486</v>
      </c>
      <c r="C43" s="4" t="s">
        <v>176</v>
      </c>
      <c r="D43" s="136" t="s">
        <v>308</v>
      </c>
      <c r="E43" s="137"/>
      <c r="F43" s="4" t="s">
        <v>460</v>
      </c>
      <c r="G43" s="65">
        <v>32.549999999999997</v>
      </c>
      <c r="H43" s="15">
        <v>0</v>
      </c>
    </row>
    <row r="44" spans="1:8" ht="12.2" customHeight="1" x14ac:dyDescent="0.2">
      <c r="D44" s="158" t="s">
        <v>566</v>
      </c>
      <c r="E44" s="159"/>
      <c r="F44" s="159"/>
      <c r="G44" s="44">
        <v>32.549999999999997</v>
      </c>
    </row>
    <row r="45" spans="1:8" x14ac:dyDescent="0.2">
      <c r="A45" s="4" t="s">
        <v>20</v>
      </c>
      <c r="B45" s="4" t="s">
        <v>486</v>
      </c>
      <c r="C45" s="4" t="s">
        <v>177</v>
      </c>
      <c r="D45" s="136" t="s">
        <v>310</v>
      </c>
      <c r="E45" s="137"/>
      <c r="F45" s="4" t="s">
        <v>459</v>
      </c>
      <c r="G45" s="65">
        <v>16</v>
      </c>
      <c r="H45" s="15">
        <v>0</v>
      </c>
    </row>
    <row r="46" spans="1:8" ht="12.2" customHeight="1" x14ac:dyDescent="0.2">
      <c r="D46" s="158" t="s">
        <v>567</v>
      </c>
      <c r="E46" s="159"/>
      <c r="F46" s="159"/>
      <c r="G46" s="44">
        <v>16</v>
      </c>
    </row>
    <row r="47" spans="1:8" x14ac:dyDescent="0.2">
      <c r="A47" s="4" t="s">
        <v>21</v>
      </c>
      <c r="B47" s="4" t="s">
        <v>487</v>
      </c>
      <c r="C47" s="4" t="s">
        <v>177</v>
      </c>
      <c r="D47" s="136" t="s">
        <v>310</v>
      </c>
      <c r="E47" s="137"/>
      <c r="F47" s="4" t="s">
        <v>459</v>
      </c>
      <c r="G47" s="65">
        <v>64</v>
      </c>
      <c r="H47" s="15">
        <v>0</v>
      </c>
    </row>
    <row r="48" spans="1:8" ht="12.2" customHeight="1" x14ac:dyDescent="0.2">
      <c r="D48" s="158" t="s">
        <v>568</v>
      </c>
      <c r="E48" s="159"/>
      <c r="F48" s="159"/>
      <c r="G48" s="44">
        <v>64</v>
      </c>
    </row>
    <row r="49" spans="1:8" x14ac:dyDescent="0.2">
      <c r="A49" s="11"/>
      <c r="B49" s="11"/>
      <c r="C49" s="11" t="s">
        <v>47</v>
      </c>
      <c r="D49" s="134" t="s">
        <v>364</v>
      </c>
      <c r="E49" s="135"/>
      <c r="F49" s="11"/>
      <c r="G49" s="67"/>
      <c r="H49" s="25"/>
    </row>
    <row r="50" spans="1:8" x14ac:dyDescent="0.2">
      <c r="A50" s="4" t="s">
        <v>22</v>
      </c>
      <c r="B50" s="4" t="s">
        <v>487</v>
      </c>
      <c r="C50" s="4" t="s">
        <v>222</v>
      </c>
      <c r="D50" s="136" t="s">
        <v>365</v>
      </c>
      <c r="E50" s="137"/>
      <c r="F50" s="4" t="s">
        <v>457</v>
      </c>
      <c r="G50" s="65">
        <v>2.762</v>
      </c>
      <c r="H50" s="15">
        <v>0</v>
      </c>
    </row>
    <row r="51" spans="1:8" ht="12.2" customHeight="1" x14ac:dyDescent="0.2">
      <c r="D51" s="158" t="s">
        <v>569</v>
      </c>
      <c r="E51" s="159"/>
      <c r="F51" s="159"/>
      <c r="G51" s="44">
        <v>2.762</v>
      </c>
    </row>
    <row r="52" spans="1:8" x14ac:dyDescent="0.2">
      <c r="A52" s="4" t="s">
        <v>23</v>
      </c>
      <c r="B52" s="4" t="s">
        <v>487</v>
      </c>
      <c r="C52" s="4" t="s">
        <v>223</v>
      </c>
      <c r="D52" s="136" t="s">
        <v>366</v>
      </c>
      <c r="E52" s="137"/>
      <c r="F52" s="4" t="s">
        <v>459</v>
      </c>
      <c r="G52" s="65">
        <v>29.46</v>
      </c>
      <c r="H52" s="15">
        <v>0</v>
      </c>
    </row>
    <row r="53" spans="1:8" ht="12.2" customHeight="1" x14ac:dyDescent="0.2">
      <c r="D53" s="158" t="s">
        <v>570</v>
      </c>
      <c r="E53" s="159"/>
      <c r="F53" s="159"/>
      <c r="G53" s="44">
        <v>29.46</v>
      </c>
    </row>
    <row r="54" spans="1:8" x14ac:dyDescent="0.2">
      <c r="A54" s="4" t="s">
        <v>24</v>
      </c>
      <c r="B54" s="4" t="s">
        <v>487</v>
      </c>
      <c r="C54" s="4" t="s">
        <v>224</v>
      </c>
      <c r="D54" s="136" t="s">
        <v>367</v>
      </c>
      <c r="E54" s="137"/>
      <c r="F54" s="4" t="s">
        <v>459</v>
      </c>
      <c r="G54" s="65">
        <v>29.46</v>
      </c>
      <c r="H54" s="15">
        <v>0</v>
      </c>
    </row>
    <row r="55" spans="1:8" ht="12.2" customHeight="1" x14ac:dyDescent="0.2">
      <c r="D55" s="158" t="s">
        <v>570</v>
      </c>
      <c r="E55" s="159"/>
      <c r="F55" s="159"/>
      <c r="G55" s="44">
        <v>29.46</v>
      </c>
    </row>
    <row r="56" spans="1:8" x14ac:dyDescent="0.2">
      <c r="A56" s="4" t="s">
        <v>25</v>
      </c>
      <c r="B56" s="4" t="s">
        <v>487</v>
      </c>
      <c r="C56" s="4" t="s">
        <v>225</v>
      </c>
      <c r="D56" s="136" t="s">
        <v>368</v>
      </c>
      <c r="E56" s="137"/>
      <c r="F56" s="4" t="s">
        <v>458</v>
      </c>
      <c r="G56" s="65">
        <v>0.182</v>
      </c>
      <c r="H56" s="15">
        <v>0</v>
      </c>
    </row>
    <row r="57" spans="1:8" ht="12.2" customHeight="1" x14ac:dyDescent="0.2">
      <c r="D57" s="158" t="s">
        <v>571</v>
      </c>
      <c r="E57" s="159"/>
      <c r="F57" s="159"/>
      <c r="G57" s="44">
        <v>0.151</v>
      </c>
    </row>
    <row r="58" spans="1:8" ht="12.2" customHeight="1" x14ac:dyDescent="0.2">
      <c r="A58" s="4"/>
      <c r="B58" s="4"/>
      <c r="C58" s="4"/>
      <c r="D58" s="158" t="s">
        <v>572</v>
      </c>
      <c r="E58" s="159"/>
      <c r="F58" s="158"/>
      <c r="G58" s="66">
        <v>3.1E-2</v>
      </c>
      <c r="H58" s="26"/>
    </row>
    <row r="59" spans="1:8" x14ac:dyDescent="0.2">
      <c r="A59" s="11"/>
      <c r="B59" s="11"/>
      <c r="C59" s="11" t="s">
        <v>62</v>
      </c>
      <c r="D59" s="134" t="s">
        <v>311</v>
      </c>
      <c r="E59" s="135"/>
      <c r="F59" s="11"/>
      <c r="G59" s="67"/>
      <c r="H59" s="25"/>
    </row>
    <row r="60" spans="1:8" x14ac:dyDescent="0.2">
      <c r="A60" s="4" t="s">
        <v>26</v>
      </c>
      <c r="B60" s="4" t="s">
        <v>486</v>
      </c>
      <c r="C60" s="4" t="s">
        <v>178</v>
      </c>
      <c r="D60" s="136" t="s">
        <v>312</v>
      </c>
      <c r="E60" s="137"/>
      <c r="F60" s="4" t="s">
        <v>459</v>
      </c>
      <c r="G60" s="65">
        <v>16</v>
      </c>
      <c r="H60" s="15">
        <v>0</v>
      </c>
    </row>
    <row r="61" spans="1:8" ht="12.2" customHeight="1" x14ac:dyDescent="0.2">
      <c r="D61" s="158" t="s">
        <v>567</v>
      </c>
      <c r="E61" s="159"/>
      <c r="F61" s="159"/>
      <c r="G61" s="44">
        <v>16</v>
      </c>
    </row>
    <row r="62" spans="1:8" x14ac:dyDescent="0.2">
      <c r="A62" s="4" t="s">
        <v>27</v>
      </c>
      <c r="B62" s="4" t="s">
        <v>487</v>
      </c>
      <c r="C62" s="4" t="s">
        <v>226</v>
      </c>
      <c r="D62" s="136" t="s">
        <v>369</v>
      </c>
      <c r="E62" s="137"/>
      <c r="F62" s="4" t="s">
        <v>459</v>
      </c>
      <c r="G62" s="65">
        <v>46</v>
      </c>
      <c r="H62" s="15">
        <v>0</v>
      </c>
    </row>
    <row r="63" spans="1:8" ht="12.2" customHeight="1" x14ac:dyDescent="0.2">
      <c r="D63" s="158" t="s">
        <v>573</v>
      </c>
      <c r="E63" s="159"/>
      <c r="F63" s="159"/>
      <c r="G63" s="44">
        <v>46</v>
      </c>
    </row>
    <row r="64" spans="1:8" x14ac:dyDescent="0.2">
      <c r="A64" s="4" t="s">
        <v>28</v>
      </c>
      <c r="B64" s="4" t="s">
        <v>487</v>
      </c>
      <c r="C64" s="4" t="s">
        <v>178</v>
      </c>
      <c r="D64" s="136" t="s">
        <v>312</v>
      </c>
      <c r="E64" s="137"/>
      <c r="F64" s="4" t="s">
        <v>459</v>
      </c>
      <c r="G64" s="65">
        <v>18</v>
      </c>
      <c r="H64" s="15">
        <v>0</v>
      </c>
    </row>
    <row r="65" spans="1:8" ht="12.2" customHeight="1" x14ac:dyDescent="0.2">
      <c r="D65" s="158" t="s">
        <v>574</v>
      </c>
      <c r="E65" s="159"/>
      <c r="F65" s="159"/>
      <c r="G65" s="44">
        <v>18</v>
      </c>
    </row>
    <row r="66" spans="1:8" x14ac:dyDescent="0.2">
      <c r="A66" s="11"/>
      <c r="B66" s="11"/>
      <c r="C66" s="11" t="s">
        <v>65</v>
      </c>
      <c r="D66" s="134" t="s">
        <v>313</v>
      </c>
      <c r="E66" s="135"/>
      <c r="F66" s="11"/>
      <c r="G66" s="67"/>
      <c r="H66" s="25"/>
    </row>
    <row r="67" spans="1:8" x14ac:dyDescent="0.2">
      <c r="A67" s="4" t="s">
        <v>29</v>
      </c>
      <c r="B67" s="4" t="s">
        <v>486</v>
      </c>
      <c r="C67" s="4" t="s">
        <v>179</v>
      </c>
      <c r="D67" s="136" t="s">
        <v>314</v>
      </c>
      <c r="E67" s="137"/>
      <c r="F67" s="4" t="s">
        <v>459</v>
      </c>
      <c r="G67" s="65">
        <v>16</v>
      </c>
      <c r="H67" s="15">
        <v>0</v>
      </c>
    </row>
    <row r="68" spans="1:8" ht="12.2" customHeight="1" x14ac:dyDescent="0.2">
      <c r="D68" s="158" t="s">
        <v>567</v>
      </c>
      <c r="E68" s="159"/>
      <c r="F68" s="159"/>
      <c r="G68" s="44">
        <v>16</v>
      </c>
    </row>
    <row r="69" spans="1:8" x14ac:dyDescent="0.2">
      <c r="A69" s="5" t="s">
        <v>30</v>
      </c>
      <c r="B69" s="5" t="s">
        <v>486</v>
      </c>
      <c r="C69" s="5" t="s">
        <v>180</v>
      </c>
      <c r="D69" s="151" t="s">
        <v>315</v>
      </c>
      <c r="E69" s="152"/>
      <c r="F69" s="5" t="s">
        <v>459</v>
      </c>
      <c r="G69" s="68">
        <v>16.8</v>
      </c>
      <c r="H69" s="16">
        <v>0</v>
      </c>
    </row>
    <row r="70" spans="1:8" ht="12.2" customHeight="1" x14ac:dyDescent="0.2">
      <c r="D70" s="162" t="s">
        <v>567</v>
      </c>
      <c r="E70" s="163"/>
      <c r="F70" s="163"/>
      <c r="G70" s="45">
        <v>16</v>
      </c>
    </row>
    <row r="71" spans="1:8" ht="12.2" customHeight="1" x14ac:dyDescent="0.2">
      <c r="A71" s="5"/>
      <c r="B71" s="5"/>
      <c r="C71" s="5"/>
      <c r="D71" s="162" t="s">
        <v>575</v>
      </c>
      <c r="E71" s="163"/>
      <c r="F71" s="162"/>
      <c r="G71" s="69">
        <v>0.8</v>
      </c>
      <c r="H71" s="27"/>
    </row>
    <row r="72" spans="1:8" x14ac:dyDescent="0.2">
      <c r="A72" s="4" t="s">
        <v>31</v>
      </c>
      <c r="B72" s="4" t="s">
        <v>487</v>
      </c>
      <c r="C72" s="4" t="s">
        <v>179</v>
      </c>
      <c r="D72" s="136" t="s">
        <v>314</v>
      </c>
      <c r="E72" s="137"/>
      <c r="F72" s="4" t="s">
        <v>459</v>
      </c>
      <c r="G72" s="65">
        <v>18</v>
      </c>
      <c r="H72" s="15">
        <v>0</v>
      </c>
    </row>
    <row r="73" spans="1:8" ht="12.2" customHeight="1" x14ac:dyDescent="0.2">
      <c r="D73" s="158" t="s">
        <v>574</v>
      </c>
      <c r="E73" s="159"/>
      <c r="F73" s="159"/>
      <c r="G73" s="44">
        <v>18</v>
      </c>
    </row>
    <row r="74" spans="1:8" x14ac:dyDescent="0.2">
      <c r="A74" s="5" t="s">
        <v>32</v>
      </c>
      <c r="B74" s="5" t="s">
        <v>487</v>
      </c>
      <c r="C74" s="5" t="s">
        <v>180</v>
      </c>
      <c r="D74" s="151" t="s">
        <v>315</v>
      </c>
      <c r="E74" s="152"/>
      <c r="F74" s="5" t="s">
        <v>459</v>
      </c>
      <c r="G74" s="68">
        <v>18.899999999999999</v>
      </c>
      <c r="H74" s="16">
        <v>0</v>
      </c>
    </row>
    <row r="75" spans="1:8" ht="12.2" customHeight="1" x14ac:dyDescent="0.2">
      <c r="D75" s="162" t="s">
        <v>574</v>
      </c>
      <c r="E75" s="163"/>
      <c r="F75" s="163"/>
      <c r="G75" s="45">
        <v>18</v>
      </c>
    </row>
    <row r="76" spans="1:8" ht="12.2" customHeight="1" x14ac:dyDescent="0.2">
      <c r="A76" s="5"/>
      <c r="B76" s="5"/>
      <c r="C76" s="5"/>
      <c r="D76" s="162" t="s">
        <v>576</v>
      </c>
      <c r="E76" s="163"/>
      <c r="F76" s="162"/>
      <c r="G76" s="69">
        <v>0.9</v>
      </c>
      <c r="H76" s="27"/>
    </row>
    <row r="77" spans="1:8" x14ac:dyDescent="0.2">
      <c r="A77" s="4" t="s">
        <v>33</v>
      </c>
      <c r="B77" s="4" t="s">
        <v>487</v>
      </c>
      <c r="C77" s="4" t="s">
        <v>227</v>
      </c>
      <c r="D77" s="136" t="s">
        <v>370</v>
      </c>
      <c r="E77" s="137"/>
      <c r="F77" s="4" t="s">
        <v>459</v>
      </c>
      <c r="G77" s="65">
        <v>46</v>
      </c>
      <c r="H77" s="15">
        <v>0</v>
      </c>
    </row>
    <row r="78" spans="1:8" ht="12.2" customHeight="1" x14ac:dyDescent="0.2">
      <c r="D78" s="158" t="s">
        <v>573</v>
      </c>
      <c r="E78" s="159"/>
      <c r="F78" s="159"/>
      <c r="G78" s="44">
        <v>46</v>
      </c>
    </row>
    <row r="79" spans="1:8" x14ac:dyDescent="0.2">
      <c r="A79" s="5" t="s">
        <v>34</v>
      </c>
      <c r="B79" s="5" t="s">
        <v>487</v>
      </c>
      <c r="C79" s="5" t="s">
        <v>228</v>
      </c>
      <c r="D79" s="151" t="s">
        <v>371</v>
      </c>
      <c r="E79" s="152"/>
      <c r="F79" s="5" t="s">
        <v>459</v>
      </c>
      <c r="G79" s="68">
        <v>48.3</v>
      </c>
      <c r="H79" s="16">
        <v>0</v>
      </c>
    </row>
    <row r="80" spans="1:8" ht="12.2" customHeight="1" x14ac:dyDescent="0.2">
      <c r="D80" s="162" t="s">
        <v>573</v>
      </c>
      <c r="E80" s="163"/>
      <c r="F80" s="163"/>
      <c r="G80" s="45">
        <v>46</v>
      </c>
    </row>
    <row r="81" spans="1:8" ht="12.2" customHeight="1" x14ac:dyDescent="0.2">
      <c r="A81" s="5"/>
      <c r="B81" s="5"/>
      <c r="C81" s="5"/>
      <c r="D81" s="162" t="s">
        <v>577</v>
      </c>
      <c r="E81" s="163"/>
      <c r="F81" s="162"/>
      <c r="G81" s="69">
        <v>2.2999999999999998</v>
      </c>
      <c r="H81" s="27"/>
    </row>
    <row r="82" spans="1:8" x14ac:dyDescent="0.2">
      <c r="A82" s="4" t="s">
        <v>35</v>
      </c>
      <c r="B82" s="4" t="s">
        <v>487</v>
      </c>
      <c r="C82" s="4" t="s">
        <v>229</v>
      </c>
      <c r="D82" s="136" t="s">
        <v>372</v>
      </c>
      <c r="E82" s="137"/>
      <c r="F82" s="4" t="s">
        <v>460</v>
      </c>
      <c r="G82" s="65">
        <v>11.2</v>
      </c>
      <c r="H82" s="15">
        <v>0</v>
      </c>
    </row>
    <row r="83" spans="1:8" ht="12.2" customHeight="1" x14ac:dyDescent="0.2">
      <c r="D83" s="158" t="s">
        <v>578</v>
      </c>
      <c r="E83" s="159"/>
      <c r="F83" s="159"/>
      <c r="G83" s="44">
        <v>11.2</v>
      </c>
    </row>
    <row r="84" spans="1:8" x14ac:dyDescent="0.2">
      <c r="A84" s="4" t="s">
        <v>36</v>
      </c>
      <c r="B84" s="4" t="s">
        <v>487</v>
      </c>
      <c r="C84" s="4" t="s">
        <v>230</v>
      </c>
      <c r="D84" s="136" t="s">
        <v>373</v>
      </c>
      <c r="E84" s="137"/>
      <c r="F84" s="4" t="s">
        <v>460</v>
      </c>
      <c r="G84" s="65">
        <v>32.049999999999997</v>
      </c>
      <c r="H84" s="15">
        <v>0</v>
      </c>
    </row>
    <row r="85" spans="1:8" ht="12.2" customHeight="1" x14ac:dyDescent="0.2">
      <c r="D85" s="158" t="s">
        <v>579</v>
      </c>
      <c r="E85" s="159"/>
      <c r="F85" s="159"/>
      <c r="G85" s="44">
        <v>32.049999999999997</v>
      </c>
    </row>
    <row r="86" spans="1:8" x14ac:dyDescent="0.2">
      <c r="A86" s="4" t="s">
        <v>37</v>
      </c>
      <c r="B86" s="4" t="s">
        <v>487</v>
      </c>
      <c r="C86" s="4" t="s">
        <v>231</v>
      </c>
      <c r="D86" s="136" t="s">
        <v>374</v>
      </c>
      <c r="E86" s="137"/>
      <c r="F86" s="4" t="s">
        <v>456</v>
      </c>
      <c r="G86" s="65">
        <v>3</v>
      </c>
      <c r="H86" s="15">
        <v>0</v>
      </c>
    </row>
    <row r="87" spans="1:8" ht="12.2" customHeight="1" x14ac:dyDescent="0.2">
      <c r="D87" s="158" t="s">
        <v>580</v>
      </c>
      <c r="E87" s="159"/>
      <c r="F87" s="159"/>
      <c r="G87" s="44">
        <v>3</v>
      </c>
    </row>
    <row r="88" spans="1:8" x14ac:dyDescent="0.2">
      <c r="A88" s="11"/>
      <c r="B88" s="11"/>
      <c r="C88" s="11" t="s">
        <v>66</v>
      </c>
      <c r="D88" s="134" t="s">
        <v>316</v>
      </c>
      <c r="E88" s="135"/>
      <c r="F88" s="11"/>
      <c r="G88" s="67"/>
      <c r="H88" s="25"/>
    </row>
    <row r="89" spans="1:8" x14ac:dyDescent="0.2">
      <c r="A89" s="4" t="s">
        <v>38</v>
      </c>
      <c r="B89" s="4" t="s">
        <v>486</v>
      </c>
      <c r="C89" s="4" t="s">
        <v>181</v>
      </c>
      <c r="D89" s="136" t="s">
        <v>317</v>
      </c>
      <c r="E89" s="137"/>
      <c r="F89" s="4" t="s">
        <v>459</v>
      </c>
      <c r="G89" s="65">
        <v>27.984999999999999</v>
      </c>
      <c r="H89" s="15">
        <v>0</v>
      </c>
    </row>
    <row r="90" spans="1:8" ht="12.2" customHeight="1" x14ac:dyDescent="0.2">
      <c r="D90" s="158" t="s">
        <v>581</v>
      </c>
      <c r="E90" s="159"/>
      <c r="F90" s="159"/>
      <c r="G90" s="44">
        <v>27.984999999999999</v>
      </c>
    </row>
    <row r="91" spans="1:8" x14ac:dyDescent="0.2">
      <c r="A91" s="4" t="s">
        <v>39</v>
      </c>
      <c r="B91" s="4" t="s">
        <v>486</v>
      </c>
      <c r="C91" s="4" t="s">
        <v>182</v>
      </c>
      <c r="D91" s="136" t="s">
        <v>318</v>
      </c>
      <c r="E91" s="137"/>
      <c r="F91" s="4" t="s">
        <v>459</v>
      </c>
      <c r="G91" s="65">
        <v>27.984999999999999</v>
      </c>
      <c r="H91" s="15">
        <v>0</v>
      </c>
    </row>
    <row r="92" spans="1:8" ht="12.2" customHeight="1" x14ac:dyDescent="0.2">
      <c r="D92" s="158" t="s">
        <v>581</v>
      </c>
      <c r="E92" s="159"/>
      <c r="F92" s="159"/>
      <c r="G92" s="44">
        <v>27.984999999999999</v>
      </c>
    </row>
    <row r="93" spans="1:8" x14ac:dyDescent="0.2">
      <c r="A93" s="4" t="s">
        <v>40</v>
      </c>
      <c r="B93" s="4" t="s">
        <v>486</v>
      </c>
      <c r="C93" s="4" t="s">
        <v>183</v>
      </c>
      <c r="D93" s="136" t="s">
        <v>319</v>
      </c>
      <c r="E93" s="137"/>
      <c r="F93" s="4" t="s">
        <v>459</v>
      </c>
      <c r="G93" s="65">
        <v>27.984999999999999</v>
      </c>
      <c r="H93" s="15">
        <v>0</v>
      </c>
    </row>
    <row r="94" spans="1:8" ht="12.2" customHeight="1" x14ac:dyDescent="0.2">
      <c r="D94" s="158" t="s">
        <v>581</v>
      </c>
      <c r="E94" s="159"/>
      <c r="F94" s="159"/>
      <c r="G94" s="44">
        <v>27.984999999999999</v>
      </c>
    </row>
    <row r="95" spans="1:8" x14ac:dyDescent="0.2">
      <c r="A95" s="4" t="s">
        <v>41</v>
      </c>
      <c r="B95" s="4" t="s">
        <v>486</v>
      </c>
      <c r="C95" s="4" t="s">
        <v>184</v>
      </c>
      <c r="D95" s="136" t="s">
        <v>320</v>
      </c>
      <c r="E95" s="137"/>
      <c r="F95" s="4" t="s">
        <v>459</v>
      </c>
      <c r="G95" s="65">
        <v>27.984999999999999</v>
      </c>
      <c r="H95" s="15">
        <v>0</v>
      </c>
    </row>
    <row r="96" spans="1:8" ht="12.2" customHeight="1" x14ac:dyDescent="0.2">
      <c r="D96" s="158" t="s">
        <v>581</v>
      </c>
      <c r="E96" s="159"/>
      <c r="F96" s="159"/>
      <c r="G96" s="44">
        <v>27.984999999999999</v>
      </c>
    </row>
    <row r="97" spans="1:8" x14ac:dyDescent="0.2">
      <c r="A97" s="4" t="s">
        <v>42</v>
      </c>
      <c r="B97" s="4" t="s">
        <v>487</v>
      </c>
      <c r="C97" s="4" t="s">
        <v>182</v>
      </c>
      <c r="D97" s="136" t="s">
        <v>375</v>
      </c>
      <c r="E97" s="137"/>
      <c r="F97" s="4" t="s">
        <v>459</v>
      </c>
      <c r="G97" s="65">
        <v>59.91</v>
      </c>
      <c r="H97" s="15">
        <v>0</v>
      </c>
    </row>
    <row r="98" spans="1:8" ht="12.2" customHeight="1" x14ac:dyDescent="0.2">
      <c r="D98" s="158" t="s">
        <v>582</v>
      </c>
      <c r="E98" s="159"/>
      <c r="F98" s="159"/>
      <c r="G98" s="44">
        <v>10.875</v>
      </c>
    </row>
    <row r="99" spans="1:8" ht="12.2" customHeight="1" x14ac:dyDescent="0.2">
      <c r="A99" s="4"/>
      <c r="B99" s="4"/>
      <c r="C99" s="4"/>
      <c r="D99" s="158" t="s">
        <v>583</v>
      </c>
      <c r="E99" s="159"/>
      <c r="F99" s="158"/>
      <c r="G99" s="66">
        <v>49.034999999999997</v>
      </c>
      <c r="H99" s="26"/>
    </row>
    <row r="100" spans="1:8" x14ac:dyDescent="0.2">
      <c r="A100" s="4" t="s">
        <v>43</v>
      </c>
      <c r="B100" s="4" t="s">
        <v>487</v>
      </c>
      <c r="C100" s="4" t="s">
        <v>232</v>
      </c>
      <c r="D100" s="136" t="s">
        <v>376</v>
      </c>
      <c r="E100" s="137"/>
      <c r="F100" s="4" t="s">
        <v>459</v>
      </c>
      <c r="G100" s="65">
        <v>59.91</v>
      </c>
      <c r="H100" s="15">
        <v>0</v>
      </c>
    </row>
    <row r="101" spans="1:8" ht="12.2" customHeight="1" x14ac:dyDescent="0.2">
      <c r="D101" s="158" t="s">
        <v>582</v>
      </c>
      <c r="E101" s="159"/>
      <c r="F101" s="159"/>
      <c r="G101" s="44">
        <v>10.875</v>
      </c>
    </row>
    <row r="102" spans="1:8" ht="12.2" customHeight="1" x14ac:dyDescent="0.2">
      <c r="A102" s="4"/>
      <c r="B102" s="4"/>
      <c r="C102" s="4"/>
      <c r="D102" s="158" t="s">
        <v>583</v>
      </c>
      <c r="E102" s="159"/>
      <c r="F102" s="158"/>
      <c r="G102" s="66">
        <v>49.034999999999997</v>
      </c>
      <c r="H102" s="26"/>
    </row>
    <row r="103" spans="1:8" x14ac:dyDescent="0.2">
      <c r="A103" s="4" t="s">
        <v>44</v>
      </c>
      <c r="B103" s="4" t="s">
        <v>487</v>
      </c>
      <c r="C103" s="4" t="s">
        <v>233</v>
      </c>
      <c r="D103" s="136" t="s">
        <v>377</v>
      </c>
      <c r="E103" s="137"/>
      <c r="F103" s="4" t="s">
        <v>459</v>
      </c>
      <c r="G103" s="65">
        <v>59.91</v>
      </c>
      <c r="H103" s="15">
        <v>0</v>
      </c>
    </row>
    <row r="104" spans="1:8" ht="12.2" customHeight="1" x14ac:dyDescent="0.2">
      <c r="D104" s="158" t="s">
        <v>582</v>
      </c>
      <c r="E104" s="159"/>
      <c r="F104" s="159"/>
      <c r="G104" s="44">
        <v>10.875</v>
      </c>
    </row>
    <row r="105" spans="1:8" ht="12.2" customHeight="1" x14ac:dyDescent="0.2">
      <c r="A105" s="4"/>
      <c r="B105" s="4"/>
      <c r="C105" s="4"/>
      <c r="D105" s="158" t="s">
        <v>583</v>
      </c>
      <c r="E105" s="159"/>
      <c r="F105" s="158"/>
      <c r="G105" s="66">
        <v>49.034999999999997</v>
      </c>
      <c r="H105" s="26"/>
    </row>
    <row r="106" spans="1:8" x14ac:dyDescent="0.2">
      <c r="A106" s="4" t="s">
        <v>45</v>
      </c>
      <c r="B106" s="4" t="s">
        <v>487</v>
      </c>
      <c r="C106" s="4" t="s">
        <v>234</v>
      </c>
      <c r="D106" s="136" t="s">
        <v>378</v>
      </c>
      <c r="E106" s="137"/>
      <c r="F106" s="4" t="s">
        <v>459</v>
      </c>
      <c r="G106" s="65">
        <v>10.875</v>
      </c>
      <c r="H106" s="15">
        <v>0</v>
      </c>
    </row>
    <row r="107" spans="1:8" ht="12.2" customHeight="1" x14ac:dyDescent="0.2">
      <c r="D107" s="158" t="s">
        <v>582</v>
      </c>
      <c r="E107" s="159"/>
      <c r="F107" s="159"/>
      <c r="G107" s="44">
        <v>10.875</v>
      </c>
    </row>
    <row r="108" spans="1:8" x14ac:dyDescent="0.2">
      <c r="A108" s="4" t="s">
        <v>46</v>
      </c>
      <c r="B108" s="4" t="s">
        <v>487</v>
      </c>
      <c r="C108" s="4" t="s">
        <v>235</v>
      </c>
      <c r="D108" s="136" t="s">
        <v>379</v>
      </c>
      <c r="E108" s="137"/>
      <c r="F108" s="4" t="s">
        <v>459</v>
      </c>
      <c r="G108" s="65">
        <v>10.875</v>
      </c>
      <c r="H108" s="15">
        <v>0</v>
      </c>
    </row>
    <row r="109" spans="1:8" ht="12.2" customHeight="1" x14ac:dyDescent="0.2">
      <c r="D109" s="158" t="s">
        <v>582</v>
      </c>
      <c r="E109" s="159"/>
      <c r="F109" s="159"/>
      <c r="G109" s="44">
        <v>10.875</v>
      </c>
    </row>
    <row r="110" spans="1:8" x14ac:dyDescent="0.2">
      <c r="A110" s="4" t="s">
        <v>47</v>
      </c>
      <c r="B110" s="4" t="s">
        <v>487</v>
      </c>
      <c r="C110" s="4" t="s">
        <v>236</v>
      </c>
      <c r="D110" s="136" t="s">
        <v>380</v>
      </c>
      <c r="E110" s="137"/>
      <c r="F110" s="4" t="s">
        <v>459</v>
      </c>
      <c r="G110" s="65">
        <v>59.91</v>
      </c>
      <c r="H110" s="15">
        <v>0</v>
      </c>
    </row>
    <row r="111" spans="1:8" ht="12.2" customHeight="1" x14ac:dyDescent="0.2">
      <c r="D111" s="158" t="s">
        <v>582</v>
      </c>
      <c r="E111" s="159"/>
      <c r="F111" s="159"/>
      <c r="G111" s="44">
        <v>10.875</v>
      </c>
    </row>
    <row r="112" spans="1:8" ht="12.2" customHeight="1" x14ac:dyDescent="0.2">
      <c r="A112" s="4"/>
      <c r="B112" s="4"/>
      <c r="C112" s="4"/>
      <c r="D112" s="158" t="s">
        <v>583</v>
      </c>
      <c r="E112" s="159"/>
      <c r="F112" s="158"/>
      <c r="G112" s="66">
        <v>49.034999999999997</v>
      </c>
      <c r="H112" s="26"/>
    </row>
    <row r="113" spans="1:8" x14ac:dyDescent="0.2">
      <c r="A113" s="4" t="s">
        <v>48</v>
      </c>
      <c r="B113" s="4" t="s">
        <v>487</v>
      </c>
      <c r="C113" s="4" t="s">
        <v>237</v>
      </c>
      <c r="D113" s="136" t="s">
        <v>381</v>
      </c>
      <c r="E113" s="137"/>
      <c r="F113" s="4" t="s">
        <v>459</v>
      </c>
      <c r="G113" s="65">
        <v>49.034999999999997</v>
      </c>
      <c r="H113" s="15">
        <v>0</v>
      </c>
    </row>
    <row r="114" spans="1:8" ht="12.2" customHeight="1" x14ac:dyDescent="0.2">
      <c r="D114" s="158" t="s">
        <v>583</v>
      </c>
      <c r="E114" s="159"/>
      <c r="F114" s="159"/>
      <c r="G114" s="44">
        <v>49.034999999999997</v>
      </c>
    </row>
    <row r="115" spans="1:8" x14ac:dyDescent="0.2">
      <c r="A115" s="4" t="s">
        <v>49</v>
      </c>
      <c r="B115" s="4" t="s">
        <v>488</v>
      </c>
      <c r="C115" s="4" t="s">
        <v>181</v>
      </c>
      <c r="D115" s="136" t="s">
        <v>435</v>
      </c>
      <c r="E115" s="137"/>
      <c r="F115" s="4" t="s">
        <v>459</v>
      </c>
      <c r="G115" s="65">
        <v>385.22500000000002</v>
      </c>
      <c r="H115" s="15">
        <v>0</v>
      </c>
    </row>
    <row r="116" spans="1:8" ht="12.2" customHeight="1" x14ac:dyDescent="0.2">
      <c r="D116" s="158" t="s">
        <v>584</v>
      </c>
      <c r="E116" s="159"/>
      <c r="F116" s="159"/>
      <c r="G116" s="44">
        <v>221.2</v>
      </c>
    </row>
    <row r="117" spans="1:8" ht="12.2" customHeight="1" x14ac:dyDescent="0.2">
      <c r="A117" s="4"/>
      <c r="B117" s="4"/>
      <c r="C117" s="4"/>
      <c r="D117" s="158" t="s">
        <v>585</v>
      </c>
      <c r="E117" s="159"/>
      <c r="F117" s="158"/>
      <c r="G117" s="66">
        <v>141.30000000000001</v>
      </c>
      <c r="H117" s="26"/>
    </row>
    <row r="118" spans="1:8" ht="12.2" customHeight="1" x14ac:dyDescent="0.2">
      <c r="A118" s="4"/>
      <c r="B118" s="4"/>
      <c r="C118" s="4"/>
      <c r="D118" s="158" t="s">
        <v>586</v>
      </c>
      <c r="E118" s="159"/>
      <c r="F118" s="158"/>
      <c r="G118" s="66">
        <v>22.725000000000001</v>
      </c>
      <c r="H118" s="26"/>
    </row>
    <row r="119" spans="1:8" x14ac:dyDescent="0.2">
      <c r="A119" s="4" t="s">
        <v>50</v>
      </c>
      <c r="B119" s="4" t="s">
        <v>488</v>
      </c>
      <c r="C119" s="4" t="s">
        <v>182</v>
      </c>
      <c r="D119" s="136" t="s">
        <v>436</v>
      </c>
      <c r="E119" s="137"/>
      <c r="F119" s="4" t="s">
        <v>459</v>
      </c>
      <c r="G119" s="65">
        <v>385.22500000000002</v>
      </c>
      <c r="H119" s="15">
        <v>0</v>
      </c>
    </row>
    <row r="120" spans="1:8" ht="12.2" customHeight="1" x14ac:dyDescent="0.2">
      <c r="D120" s="158" t="s">
        <v>587</v>
      </c>
      <c r="E120" s="159"/>
      <c r="F120" s="159"/>
      <c r="G120" s="44">
        <v>385.22500000000002</v>
      </c>
    </row>
    <row r="121" spans="1:8" x14ac:dyDescent="0.2">
      <c r="A121" s="4" t="s">
        <v>51</v>
      </c>
      <c r="B121" s="4" t="s">
        <v>488</v>
      </c>
      <c r="C121" s="4" t="s">
        <v>183</v>
      </c>
      <c r="D121" s="136" t="s">
        <v>437</v>
      </c>
      <c r="E121" s="137"/>
      <c r="F121" s="4" t="s">
        <v>459</v>
      </c>
      <c r="G121" s="65">
        <v>385.22500000000002</v>
      </c>
      <c r="H121" s="15">
        <v>0</v>
      </c>
    </row>
    <row r="122" spans="1:8" ht="12.2" customHeight="1" x14ac:dyDescent="0.2">
      <c r="D122" s="158" t="s">
        <v>587</v>
      </c>
      <c r="E122" s="159"/>
      <c r="F122" s="159"/>
      <c r="G122" s="44">
        <v>385.22500000000002</v>
      </c>
    </row>
    <row r="123" spans="1:8" x14ac:dyDescent="0.2">
      <c r="A123" s="4" t="s">
        <v>52</v>
      </c>
      <c r="B123" s="4" t="s">
        <v>488</v>
      </c>
      <c r="C123" s="4" t="s">
        <v>184</v>
      </c>
      <c r="D123" s="136" t="s">
        <v>438</v>
      </c>
      <c r="E123" s="137"/>
      <c r="F123" s="4" t="s">
        <v>459</v>
      </c>
      <c r="G123" s="65">
        <v>385.22500000000002</v>
      </c>
      <c r="H123" s="15">
        <v>0</v>
      </c>
    </row>
    <row r="124" spans="1:8" ht="12.2" customHeight="1" x14ac:dyDescent="0.2">
      <c r="D124" s="158" t="s">
        <v>587</v>
      </c>
      <c r="E124" s="159"/>
      <c r="F124" s="159"/>
      <c r="G124" s="44">
        <v>385.22500000000002</v>
      </c>
    </row>
    <row r="125" spans="1:8" x14ac:dyDescent="0.2">
      <c r="A125" s="11"/>
      <c r="B125" s="11"/>
      <c r="C125" s="11" t="s">
        <v>67</v>
      </c>
      <c r="D125" s="134" t="s">
        <v>382</v>
      </c>
      <c r="E125" s="135"/>
      <c r="F125" s="11"/>
      <c r="G125" s="67"/>
      <c r="H125" s="25"/>
    </row>
    <row r="126" spans="1:8" x14ac:dyDescent="0.2">
      <c r="A126" s="4" t="s">
        <v>53</v>
      </c>
      <c r="B126" s="4" t="s">
        <v>487</v>
      </c>
      <c r="C126" s="4" t="s">
        <v>238</v>
      </c>
      <c r="D126" s="136" t="s">
        <v>383</v>
      </c>
      <c r="E126" s="137"/>
      <c r="F126" s="4" t="s">
        <v>460</v>
      </c>
      <c r="G126" s="65">
        <v>36.825000000000003</v>
      </c>
      <c r="H126" s="15">
        <v>0</v>
      </c>
    </row>
    <row r="127" spans="1:8" ht="12.2" customHeight="1" x14ac:dyDescent="0.2">
      <c r="D127" s="158" t="s">
        <v>588</v>
      </c>
      <c r="E127" s="159"/>
      <c r="F127" s="159"/>
      <c r="G127" s="44">
        <v>36.825000000000003</v>
      </c>
    </row>
    <row r="128" spans="1:8" x14ac:dyDescent="0.2">
      <c r="A128" s="11"/>
      <c r="B128" s="11"/>
      <c r="C128" s="11" t="s">
        <v>68</v>
      </c>
      <c r="D128" s="134" t="s">
        <v>321</v>
      </c>
      <c r="E128" s="135"/>
      <c r="F128" s="11"/>
      <c r="G128" s="67"/>
      <c r="H128" s="25"/>
    </row>
    <row r="129" spans="1:8" x14ac:dyDescent="0.2">
      <c r="A129" s="4" t="s">
        <v>54</v>
      </c>
      <c r="B129" s="4" t="s">
        <v>486</v>
      </c>
      <c r="C129" s="4" t="s">
        <v>185</v>
      </c>
      <c r="D129" s="136" t="s">
        <v>322</v>
      </c>
      <c r="E129" s="137"/>
      <c r="F129" s="4" t="s">
        <v>459</v>
      </c>
      <c r="G129" s="65">
        <v>16.356999999999999</v>
      </c>
      <c r="H129" s="15">
        <v>0</v>
      </c>
    </row>
    <row r="130" spans="1:8" ht="12.2" customHeight="1" x14ac:dyDescent="0.2">
      <c r="D130" s="158" t="s">
        <v>589</v>
      </c>
      <c r="E130" s="159"/>
      <c r="F130" s="159"/>
      <c r="G130" s="44">
        <v>16.356999999999999</v>
      </c>
    </row>
    <row r="131" spans="1:8" x14ac:dyDescent="0.2">
      <c r="A131" s="4" t="s">
        <v>55</v>
      </c>
      <c r="B131" s="4" t="s">
        <v>487</v>
      </c>
      <c r="C131" s="4" t="s">
        <v>186</v>
      </c>
      <c r="D131" s="136" t="s">
        <v>384</v>
      </c>
      <c r="E131" s="137"/>
      <c r="F131" s="4" t="s">
        <v>460</v>
      </c>
      <c r="G131" s="65">
        <v>73.650000000000006</v>
      </c>
      <c r="H131" s="15">
        <v>0</v>
      </c>
    </row>
    <row r="132" spans="1:8" ht="12.2" customHeight="1" x14ac:dyDescent="0.2">
      <c r="D132" s="158" t="s">
        <v>590</v>
      </c>
      <c r="E132" s="159"/>
      <c r="F132" s="159"/>
      <c r="G132" s="44">
        <v>73.650000000000006</v>
      </c>
    </row>
    <row r="133" spans="1:8" x14ac:dyDescent="0.2">
      <c r="A133" s="4" t="s">
        <v>56</v>
      </c>
      <c r="B133" s="4" t="s">
        <v>486</v>
      </c>
      <c r="C133" s="4" t="s">
        <v>186</v>
      </c>
      <c r="D133" s="136" t="s">
        <v>323</v>
      </c>
      <c r="E133" s="137"/>
      <c r="F133" s="4" t="s">
        <v>460</v>
      </c>
      <c r="G133" s="65">
        <v>31.7</v>
      </c>
      <c r="H133" s="15">
        <v>0</v>
      </c>
    </row>
    <row r="134" spans="1:8" ht="12.2" customHeight="1" x14ac:dyDescent="0.2">
      <c r="D134" s="158" t="s">
        <v>591</v>
      </c>
      <c r="E134" s="159"/>
      <c r="F134" s="159"/>
      <c r="G134" s="44">
        <v>31.7</v>
      </c>
    </row>
    <row r="135" spans="1:8" x14ac:dyDescent="0.2">
      <c r="A135" s="11"/>
      <c r="B135" s="11"/>
      <c r="C135" s="11" t="s">
        <v>69</v>
      </c>
      <c r="D135" s="134" t="s">
        <v>385</v>
      </c>
      <c r="E135" s="135"/>
      <c r="F135" s="11"/>
      <c r="G135" s="67"/>
      <c r="H135" s="25"/>
    </row>
    <row r="136" spans="1:8" x14ac:dyDescent="0.2">
      <c r="A136" s="4" t="s">
        <v>57</v>
      </c>
      <c r="B136" s="4" t="s">
        <v>487</v>
      </c>
      <c r="C136" s="4" t="s">
        <v>239</v>
      </c>
      <c r="D136" s="136" t="s">
        <v>386</v>
      </c>
      <c r="E136" s="137"/>
      <c r="F136" s="4" t="s">
        <v>459</v>
      </c>
      <c r="G136" s="65">
        <v>2.4039999999999999</v>
      </c>
      <c r="H136" s="15">
        <v>0</v>
      </c>
    </row>
    <row r="137" spans="1:8" ht="12.2" customHeight="1" x14ac:dyDescent="0.2">
      <c r="D137" s="158" t="s">
        <v>592</v>
      </c>
      <c r="E137" s="159"/>
      <c r="F137" s="159"/>
      <c r="G137" s="44">
        <v>2.4039999999999999</v>
      </c>
    </row>
    <row r="138" spans="1:8" x14ac:dyDescent="0.2">
      <c r="A138" s="4" t="s">
        <v>58</v>
      </c>
      <c r="B138" s="4" t="s">
        <v>487</v>
      </c>
      <c r="C138" s="4" t="s">
        <v>240</v>
      </c>
      <c r="D138" s="136" t="s">
        <v>387</v>
      </c>
      <c r="E138" s="137"/>
      <c r="F138" s="4" t="s">
        <v>459</v>
      </c>
      <c r="G138" s="65">
        <v>21.914999999999999</v>
      </c>
      <c r="H138" s="15">
        <v>0</v>
      </c>
    </row>
    <row r="139" spans="1:8" ht="12.2" customHeight="1" x14ac:dyDescent="0.2">
      <c r="D139" s="158" t="s">
        <v>593</v>
      </c>
      <c r="E139" s="159"/>
      <c r="F139" s="159"/>
      <c r="G139" s="44">
        <v>21.914999999999999</v>
      </c>
    </row>
    <row r="140" spans="1:8" x14ac:dyDescent="0.2">
      <c r="A140" s="4" t="s">
        <v>59</v>
      </c>
      <c r="B140" s="4" t="s">
        <v>487</v>
      </c>
      <c r="C140" s="4" t="s">
        <v>241</v>
      </c>
      <c r="D140" s="136" t="s">
        <v>388</v>
      </c>
      <c r="E140" s="137"/>
      <c r="F140" s="4" t="s">
        <v>459</v>
      </c>
      <c r="G140" s="65">
        <v>21.914999999999999</v>
      </c>
      <c r="H140" s="15">
        <v>0</v>
      </c>
    </row>
    <row r="141" spans="1:8" ht="12.2" customHeight="1" x14ac:dyDescent="0.2">
      <c r="D141" s="158" t="s">
        <v>593</v>
      </c>
      <c r="E141" s="159"/>
      <c r="F141" s="159"/>
      <c r="G141" s="44">
        <v>21.914999999999999</v>
      </c>
    </row>
    <row r="142" spans="1:8" x14ac:dyDescent="0.2">
      <c r="A142" s="11"/>
      <c r="B142" s="11"/>
      <c r="C142" s="11" t="s">
        <v>95</v>
      </c>
      <c r="D142" s="134" t="s">
        <v>324</v>
      </c>
      <c r="E142" s="135"/>
      <c r="F142" s="11"/>
      <c r="G142" s="67"/>
      <c r="H142" s="25"/>
    </row>
    <row r="143" spans="1:8" x14ac:dyDescent="0.2">
      <c r="A143" s="4" t="s">
        <v>60</v>
      </c>
      <c r="B143" s="4" t="s">
        <v>487</v>
      </c>
      <c r="C143" s="4" t="s">
        <v>187</v>
      </c>
      <c r="D143" s="136" t="s">
        <v>389</v>
      </c>
      <c r="E143" s="137"/>
      <c r="F143" s="4" t="s">
        <v>456</v>
      </c>
      <c r="G143" s="65">
        <v>1</v>
      </c>
      <c r="H143" s="15">
        <v>0</v>
      </c>
    </row>
    <row r="144" spans="1:8" ht="12.2" customHeight="1" x14ac:dyDescent="0.2">
      <c r="D144" s="158" t="s">
        <v>555</v>
      </c>
      <c r="E144" s="159"/>
      <c r="F144" s="159"/>
      <c r="G144" s="44">
        <v>1</v>
      </c>
    </row>
    <row r="145" spans="1:8" x14ac:dyDescent="0.2">
      <c r="A145" s="4" t="s">
        <v>61</v>
      </c>
      <c r="B145" s="4" t="s">
        <v>487</v>
      </c>
      <c r="C145" s="4" t="s">
        <v>242</v>
      </c>
      <c r="D145" s="136" t="s">
        <v>390</v>
      </c>
      <c r="E145" s="137"/>
      <c r="F145" s="4" t="s">
        <v>460</v>
      </c>
      <c r="G145" s="65">
        <v>6.5</v>
      </c>
      <c r="H145" s="15">
        <v>0</v>
      </c>
    </row>
    <row r="146" spans="1:8" ht="12.2" customHeight="1" x14ac:dyDescent="0.2">
      <c r="D146" s="158" t="s">
        <v>594</v>
      </c>
      <c r="E146" s="159"/>
      <c r="F146" s="159"/>
      <c r="G146" s="44">
        <v>6.5</v>
      </c>
    </row>
    <row r="147" spans="1:8" x14ac:dyDescent="0.2">
      <c r="A147" s="4" t="s">
        <v>62</v>
      </c>
      <c r="B147" s="4" t="s">
        <v>487</v>
      </c>
      <c r="C147" s="4" t="s">
        <v>243</v>
      </c>
      <c r="D147" s="136" t="s">
        <v>391</v>
      </c>
      <c r="E147" s="137"/>
      <c r="F147" s="4" t="s">
        <v>460</v>
      </c>
      <c r="G147" s="65">
        <v>11</v>
      </c>
      <c r="H147" s="15">
        <v>0</v>
      </c>
    </row>
    <row r="148" spans="1:8" ht="12.2" customHeight="1" x14ac:dyDescent="0.2">
      <c r="D148" s="158" t="s">
        <v>595</v>
      </c>
      <c r="E148" s="159"/>
      <c r="F148" s="159"/>
      <c r="G148" s="44">
        <v>11</v>
      </c>
    </row>
    <row r="149" spans="1:8" x14ac:dyDescent="0.2">
      <c r="A149" s="4" t="s">
        <v>63</v>
      </c>
      <c r="B149" s="4" t="s">
        <v>486</v>
      </c>
      <c r="C149" s="4" t="s">
        <v>187</v>
      </c>
      <c r="D149" s="136" t="s">
        <v>325</v>
      </c>
      <c r="E149" s="137"/>
      <c r="F149" s="4" t="s">
        <v>456</v>
      </c>
      <c r="G149" s="65">
        <v>1</v>
      </c>
      <c r="H149" s="15">
        <v>0</v>
      </c>
    </row>
    <row r="150" spans="1:8" ht="12.2" customHeight="1" x14ac:dyDescent="0.2">
      <c r="D150" s="158" t="s">
        <v>555</v>
      </c>
      <c r="E150" s="159"/>
      <c r="F150" s="159"/>
      <c r="G150" s="44">
        <v>1</v>
      </c>
    </row>
    <row r="151" spans="1:8" x14ac:dyDescent="0.2">
      <c r="A151" s="4" t="s">
        <v>64</v>
      </c>
      <c r="B151" s="4" t="s">
        <v>487</v>
      </c>
      <c r="C151" s="4" t="s">
        <v>243</v>
      </c>
      <c r="D151" s="136" t="s">
        <v>392</v>
      </c>
      <c r="E151" s="137"/>
      <c r="F151" s="4" t="s">
        <v>460</v>
      </c>
      <c r="G151" s="65">
        <v>48</v>
      </c>
      <c r="H151" s="15">
        <v>0</v>
      </c>
    </row>
    <row r="152" spans="1:8" ht="12.2" customHeight="1" x14ac:dyDescent="0.2">
      <c r="D152" s="158" t="s">
        <v>596</v>
      </c>
      <c r="E152" s="159"/>
      <c r="F152" s="159"/>
      <c r="G152" s="44">
        <v>48</v>
      </c>
    </row>
    <row r="153" spans="1:8" x14ac:dyDescent="0.2">
      <c r="A153" s="4" t="s">
        <v>65</v>
      </c>
      <c r="B153" s="4" t="s">
        <v>487</v>
      </c>
      <c r="C153" s="4" t="s">
        <v>244</v>
      </c>
      <c r="D153" s="136" t="s">
        <v>393</v>
      </c>
      <c r="E153" s="137"/>
      <c r="F153" s="4" t="s">
        <v>456</v>
      </c>
      <c r="G153" s="65">
        <v>1</v>
      </c>
      <c r="H153" s="15">
        <v>0</v>
      </c>
    </row>
    <row r="154" spans="1:8" ht="12.2" customHeight="1" x14ac:dyDescent="0.2">
      <c r="D154" s="158" t="s">
        <v>555</v>
      </c>
      <c r="E154" s="159"/>
      <c r="F154" s="159"/>
      <c r="G154" s="44">
        <v>1</v>
      </c>
    </row>
    <row r="155" spans="1:8" x14ac:dyDescent="0.2">
      <c r="A155" s="11"/>
      <c r="B155" s="11"/>
      <c r="C155" s="11" t="s">
        <v>97</v>
      </c>
      <c r="D155" s="134" t="s">
        <v>326</v>
      </c>
      <c r="E155" s="135"/>
      <c r="F155" s="11"/>
      <c r="G155" s="67"/>
      <c r="H155" s="25"/>
    </row>
    <row r="156" spans="1:8" x14ac:dyDescent="0.2">
      <c r="A156" s="4" t="s">
        <v>66</v>
      </c>
      <c r="B156" s="4" t="s">
        <v>486</v>
      </c>
      <c r="C156" s="4" t="s">
        <v>188</v>
      </c>
      <c r="D156" s="136" t="s">
        <v>327</v>
      </c>
      <c r="E156" s="137"/>
      <c r="F156" s="4" t="s">
        <v>460</v>
      </c>
      <c r="G156" s="65">
        <v>31.7</v>
      </c>
      <c r="H156" s="15">
        <v>0</v>
      </c>
    </row>
    <row r="157" spans="1:8" ht="12.2" customHeight="1" x14ac:dyDescent="0.2">
      <c r="D157" s="158" t="s">
        <v>591</v>
      </c>
      <c r="E157" s="159"/>
      <c r="F157" s="159"/>
      <c r="G157" s="44">
        <v>31.7</v>
      </c>
    </row>
    <row r="158" spans="1:8" x14ac:dyDescent="0.2">
      <c r="A158" s="5" t="s">
        <v>67</v>
      </c>
      <c r="B158" s="5" t="s">
        <v>486</v>
      </c>
      <c r="C158" s="5" t="s">
        <v>189</v>
      </c>
      <c r="D158" s="151" t="s">
        <v>328</v>
      </c>
      <c r="E158" s="152"/>
      <c r="F158" s="5" t="s">
        <v>456</v>
      </c>
      <c r="G158" s="68">
        <v>64</v>
      </c>
      <c r="H158" s="16">
        <v>0</v>
      </c>
    </row>
    <row r="159" spans="1:8" ht="12.2" customHeight="1" x14ac:dyDescent="0.2">
      <c r="D159" s="162" t="s">
        <v>597</v>
      </c>
      <c r="E159" s="163"/>
      <c r="F159" s="163"/>
      <c r="G159" s="45">
        <v>64</v>
      </c>
    </row>
    <row r="160" spans="1:8" x14ac:dyDescent="0.2">
      <c r="A160" s="4" t="s">
        <v>68</v>
      </c>
      <c r="B160" s="4" t="s">
        <v>486</v>
      </c>
      <c r="C160" s="4" t="s">
        <v>190</v>
      </c>
      <c r="D160" s="136" t="s">
        <v>329</v>
      </c>
      <c r="E160" s="137"/>
      <c r="F160" s="4" t="s">
        <v>457</v>
      </c>
      <c r="G160" s="65">
        <v>2.3780000000000001</v>
      </c>
      <c r="H160" s="15">
        <v>0</v>
      </c>
    </row>
    <row r="161" spans="1:8" ht="12.2" customHeight="1" x14ac:dyDescent="0.2">
      <c r="D161" s="158" t="s">
        <v>598</v>
      </c>
      <c r="E161" s="159"/>
      <c r="F161" s="159"/>
      <c r="G161" s="44">
        <v>2.3780000000000001</v>
      </c>
    </row>
    <row r="162" spans="1:8" x14ac:dyDescent="0.2">
      <c r="A162" s="4" t="s">
        <v>69</v>
      </c>
      <c r="B162" s="4" t="s">
        <v>487</v>
      </c>
      <c r="C162" s="4" t="s">
        <v>188</v>
      </c>
      <c r="D162" s="136" t="s">
        <v>327</v>
      </c>
      <c r="E162" s="137"/>
      <c r="F162" s="4" t="s">
        <v>460</v>
      </c>
      <c r="G162" s="65">
        <v>36.200000000000003</v>
      </c>
      <c r="H162" s="15">
        <v>0</v>
      </c>
    </row>
    <row r="163" spans="1:8" ht="12.2" customHeight="1" x14ac:dyDescent="0.2">
      <c r="D163" s="158" t="s">
        <v>599</v>
      </c>
      <c r="E163" s="159"/>
      <c r="F163" s="159"/>
      <c r="G163" s="44">
        <v>36.200000000000003</v>
      </c>
    </row>
    <row r="164" spans="1:8" x14ac:dyDescent="0.2">
      <c r="A164" s="5" t="s">
        <v>70</v>
      </c>
      <c r="B164" s="5" t="s">
        <v>487</v>
      </c>
      <c r="C164" s="5" t="s">
        <v>189</v>
      </c>
      <c r="D164" s="151" t="s">
        <v>328</v>
      </c>
      <c r="E164" s="152"/>
      <c r="F164" s="5" t="s">
        <v>456</v>
      </c>
      <c r="G164" s="68">
        <v>73</v>
      </c>
      <c r="H164" s="16">
        <v>0</v>
      </c>
    </row>
    <row r="165" spans="1:8" ht="12.2" customHeight="1" x14ac:dyDescent="0.2">
      <c r="D165" s="162" t="s">
        <v>600</v>
      </c>
      <c r="E165" s="163"/>
      <c r="F165" s="163"/>
      <c r="G165" s="45">
        <v>73</v>
      </c>
    </row>
    <row r="166" spans="1:8" x14ac:dyDescent="0.2">
      <c r="A166" s="4" t="s">
        <v>71</v>
      </c>
      <c r="B166" s="4" t="s">
        <v>487</v>
      </c>
      <c r="C166" s="4" t="s">
        <v>190</v>
      </c>
      <c r="D166" s="136" t="s">
        <v>329</v>
      </c>
      <c r="E166" s="137"/>
      <c r="F166" s="4" t="s">
        <v>457</v>
      </c>
      <c r="G166" s="65">
        <v>2.7149999999999999</v>
      </c>
      <c r="H166" s="15">
        <v>0</v>
      </c>
    </row>
    <row r="167" spans="1:8" ht="12.2" customHeight="1" x14ac:dyDescent="0.2">
      <c r="D167" s="158" t="s">
        <v>601</v>
      </c>
      <c r="E167" s="159"/>
      <c r="F167" s="159"/>
      <c r="G167" s="44">
        <v>2.7149999999999999</v>
      </c>
    </row>
    <row r="168" spans="1:8" x14ac:dyDescent="0.2">
      <c r="A168" s="4" t="s">
        <v>72</v>
      </c>
      <c r="B168" s="4" t="s">
        <v>487</v>
      </c>
      <c r="C168" s="4" t="s">
        <v>245</v>
      </c>
      <c r="D168" s="136" t="s">
        <v>394</v>
      </c>
      <c r="E168" s="137"/>
      <c r="F168" s="4" t="s">
        <v>460</v>
      </c>
      <c r="G168" s="65">
        <v>69.724999999999994</v>
      </c>
      <c r="H168" s="15">
        <v>0</v>
      </c>
    </row>
    <row r="169" spans="1:8" ht="12.2" customHeight="1" x14ac:dyDescent="0.2">
      <c r="D169" s="158" t="s">
        <v>602</v>
      </c>
      <c r="E169" s="159"/>
      <c r="F169" s="159"/>
      <c r="G169" s="44">
        <v>69.724999999999994</v>
      </c>
    </row>
    <row r="170" spans="1:8" x14ac:dyDescent="0.2">
      <c r="A170" s="11"/>
      <c r="B170" s="11"/>
      <c r="C170" s="11" t="s">
        <v>99</v>
      </c>
      <c r="D170" s="134" t="s">
        <v>395</v>
      </c>
      <c r="E170" s="135"/>
      <c r="F170" s="11"/>
      <c r="G170" s="67"/>
      <c r="H170" s="25"/>
    </row>
    <row r="171" spans="1:8" x14ac:dyDescent="0.2">
      <c r="A171" s="4" t="s">
        <v>73</v>
      </c>
      <c r="B171" s="4" t="s">
        <v>487</v>
      </c>
      <c r="C171" s="4" t="s">
        <v>246</v>
      </c>
      <c r="D171" s="136" t="s">
        <v>396</v>
      </c>
      <c r="E171" s="137"/>
      <c r="F171" s="4" t="s">
        <v>457</v>
      </c>
      <c r="G171" s="65">
        <v>0.29299999999999998</v>
      </c>
      <c r="H171" s="15">
        <v>0</v>
      </c>
    </row>
    <row r="172" spans="1:8" ht="12.2" customHeight="1" x14ac:dyDescent="0.2">
      <c r="D172" s="158" t="s">
        <v>603</v>
      </c>
      <c r="E172" s="159"/>
      <c r="F172" s="159"/>
      <c r="G172" s="44">
        <v>0.29299999999999998</v>
      </c>
    </row>
    <row r="173" spans="1:8" x14ac:dyDescent="0.2">
      <c r="A173" s="4" t="s">
        <v>74</v>
      </c>
      <c r="B173" s="4" t="s">
        <v>487</v>
      </c>
      <c r="C173" s="4" t="s">
        <v>247</v>
      </c>
      <c r="D173" s="136" t="s">
        <v>397</v>
      </c>
      <c r="E173" s="137"/>
      <c r="F173" s="4" t="s">
        <v>457</v>
      </c>
      <c r="G173" s="65">
        <v>11.186</v>
      </c>
      <c r="H173" s="15">
        <v>0</v>
      </c>
    </row>
    <row r="174" spans="1:8" ht="12.2" customHeight="1" x14ac:dyDescent="0.2">
      <c r="D174" s="158" t="s">
        <v>604</v>
      </c>
      <c r="E174" s="159"/>
      <c r="F174" s="159"/>
      <c r="G174" s="44">
        <v>11.186</v>
      </c>
    </row>
    <row r="175" spans="1:8" x14ac:dyDescent="0.2">
      <c r="A175" s="11"/>
      <c r="B175" s="11"/>
      <c r="C175" s="11" t="s">
        <v>100</v>
      </c>
      <c r="D175" s="134" t="s">
        <v>330</v>
      </c>
      <c r="E175" s="135"/>
      <c r="F175" s="11"/>
      <c r="G175" s="67"/>
      <c r="H175" s="25"/>
    </row>
    <row r="176" spans="1:8" x14ac:dyDescent="0.2">
      <c r="A176" s="4" t="s">
        <v>75</v>
      </c>
      <c r="B176" s="4" t="s">
        <v>486</v>
      </c>
      <c r="C176" s="4" t="s">
        <v>191</v>
      </c>
      <c r="D176" s="136" t="s">
        <v>331</v>
      </c>
      <c r="E176" s="137"/>
      <c r="F176" s="4" t="s">
        <v>459</v>
      </c>
      <c r="G176" s="65">
        <v>30</v>
      </c>
      <c r="H176" s="15">
        <v>0</v>
      </c>
    </row>
    <row r="177" spans="1:8" ht="12.2" customHeight="1" x14ac:dyDescent="0.2">
      <c r="D177" s="158" t="s">
        <v>605</v>
      </c>
      <c r="E177" s="159"/>
      <c r="F177" s="159"/>
      <c r="G177" s="44">
        <v>30</v>
      </c>
    </row>
    <row r="178" spans="1:8" x14ac:dyDescent="0.2">
      <c r="A178" s="4" t="s">
        <v>76</v>
      </c>
      <c r="B178" s="4" t="s">
        <v>488</v>
      </c>
      <c r="C178" s="4" t="s">
        <v>191</v>
      </c>
      <c r="D178" s="136" t="s">
        <v>331</v>
      </c>
      <c r="E178" s="137"/>
      <c r="F178" s="4" t="s">
        <v>459</v>
      </c>
      <c r="G178" s="65">
        <v>63.2</v>
      </c>
      <c r="H178" s="15">
        <v>0</v>
      </c>
    </row>
    <row r="179" spans="1:8" ht="12.2" customHeight="1" x14ac:dyDescent="0.2">
      <c r="D179" s="158" t="s">
        <v>606</v>
      </c>
      <c r="E179" s="159"/>
      <c r="F179" s="159"/>
      <c r="G179" s="44">
        <v>63.2</v>
      </c>
    </row>
    <row r="180" spans="1:8" x14ac:dyDescent="0.2">
      <c r="A180" s="4" t="s">
        <v>77</v>
      </c>
      <c r="B180" s="4" t="s">
        <v>488</v>
      </c>
      <c r="C180" s="4" t="s">
        <v>277</v>
      </c>
      <c r="D180" s="136" t="s">
        <v>439</v>
      </c>
      <c r="E180" s="137"/>
      <c r="F180" s="4" t="s">
        <v>459</v>
      </c>
      <c r="G180" s="65">
        <v>31.4</v>
      </c>
      <c r="H180" s="15">
        <v>0</v>
      </c>
    </row>
    <row r="181" spans="1:8" ht="12.2" customHeight="1" x14ac:dyDescent="0.2">
      <c r="D181" s="158" t="s">
        <v>607</v>
      </c>
      <c r="E181" s="159"/>
      <c r="F181" s="159"/>
      <c r="G181" s="44">
        <v>31.4</v>
      </c>
    </row>
    <row r="182" spans="1:8" x14ac:dyDescent="0.2">
      <c r="A182" s="4" t="s">
        <v>78</v>
      </c>
      <c r="B182" s="4" t="s">
        <v>488</v>
      </c>
      <c r="C182" s="4" t="s">
        <v>278</v>
      </c>
      <c r="D182" s="136" t="s">
        <v>440</v>
      </c>
      <c r="E182" s="137"/>
      <c r="F182" s="4" t="s">
        <v>459</v>
      </c>
      <c r="G182" s="65">
        <v>15.15</v>
      </c>
      <c r="H182" s="15">
        <v>0</v>
      </c>
    </row>
    <row r="183" spans="1:8" ht="12.2" customHeight="1" x14ac:dyDescent="0.2">
      <c r="D183" s="158" t="s">
        <v>608</v>
      </c>
      <c r="E183" s="159"/>
      <c r="F183" s="159"/>
      <c r="G183" s="44">
        <v>15.15</v>
      </c>
    </row>
    <row r="184" spans="1:8" x14ac:dyDescent="0.2">
      <c r="A184" s="11"/>
      <c r="B184" s="11"/>
      <c r="C184" s="11" t="s">
        <v>102</v>
      </c>
      <c r="D184" s="134" t="s">
        <v>398</v>
      </c>
      <c r="E184" s="135"/>
      <c r="F184" s="11"/>
      <c r="G184" s="67"/>
      <c r="H184" s="25"/>
    </row>
    <row r="185" spans="1:8" x14ac:dyDescent="0.2">
      <c r="A185" s="4" t="s">
        <v>79</v>
      </c>
      <c r="B185" s="4" t="s">
        <v>487</v>
      </c>
      <c r="C185" s="4" t="s">
        <v>248</v>
      </c>
      <c r="D185" s="136" t="s">
        <v>399</v>
      </c>
      <c r="E185" s="137"/>
      <c r="F185" s="4" t="s">
        <v>459</v>
      </c>
      <c r="G185" s="65">
        <v>12.521000000000001</v>
      </c>
      <c r="H185" s="15">
        <v>0</v>
      </c>
    </row>
    <row r="186" spans="1:8" ht="12.2" customHeight="1" x14ac:dyDescent="0.2">
      <c r="D186" s="158" t="s">
        <v>609</v>
      </c>
      <c r="E186" s="159"/>
      <c r="F186" s="159"/>
      <c r="G186" s="44">
        <v>12.521000000000001</v>
      </c>
    </row>
    <row r="187" spans="1:8" x14ac:dyDescent="0.2">
      <c r="A187" s="4" t="s">
        <v>80</v>
      </c>
      <c r="B187" s="4" t="s">
        <v>487</v>
      </c>
      <c r="C187" s="4" t="s">
        <v>249</v>
      </c>
      <c r="D187" s="136" t="s">
        <v>400</v>
      </c>
      <c r="E187" s="137"/>
      <c r="F187" s="4" t="s">
        <v>457</v>
      </c>
      <c r="G187" s="65">
        <v>1.4239999999999999</v>
      </c>
      <c r="H187" s="15">
        <v>0</v>
      </c>
    </row>
    <row r="188" spans="1:8" ht="12.2" customHeight="1" x14ac:dyDescent="0.2">
      <c r="D188" s="158" t="s">
        <v>610</v>
      </c>
      <c r="E188" s="159"/>
      <c r="F188" s="159"/>
      <c r="G188" s="44">
        <v>1.4239999999999999</v>
      </c>
    </row>
    <row r="189" spans="1:8" x14ac:dyDescent="0.2">
      <c r="A189" s="4" t="s">
        <v>81</v>
      </c>
      <c r="B189" s="4" t="s">
        <v>487</v>
      </c>
      <c r="C189" s="4" t="s">
        <v>250</v>
      </c>
      <c r="D189" s="136" t="s">
        <v>401</v>
      </c>
      <c r="E189" s="137"/>
      <c r="F189" s="4" t="s">
        <v>457</v>
      </c>
      <c r="G189" s="65">
        <v>1.4239999999999999</v>
      </c>
      <c r="H189" s="15">
        <v>0</v>
      </c>
    </row>
    <row r="190" spans="1:8" ht="12.2" customHeight="1" x14ac:dyDescent="0.2">
      <c r="D190" s="158" t="s">
        <v>611</v>
      </c>
      <c r="E190" s="159"/>
      <c r="F190" s="159"/>
      <c r="G190" s="44">
        <v>1.4239999999999999</v>
      </c>
    </row>
    <row r="191" spans="1:8" x14ac:dyDescent="0.2">
      <c r="A191" s="4" t="s">
        <v>82</v>
      </c>
      <c r="B191" s="4" t="s">
        <v>487</v>
      </c>
      <c r="C191" s="4" t="s">
        <v>251</v>
      </c>
      <c r="D191" s="136" t="s">
        <v>402</v>
      </c>
      <c r="E191" s="137"/>
      <c r="F191" s="4" t="s">
        <v>460</v>
      </c>
      <c r="G191" s="65">
        <v>6.8</v>
      </c>
      <c r="H191" s="15">
        <v>0</v>
      </c>
    </row>
    <row r="192" spans="1:8" ht="12.2" customHeight="1" x14ac:dyDescent="0.2">
      <c r="D192" s="158" t="s">
        <v>612</v>
      </c>
      <c r="E192" s="159"/>
      <c r="F192" s="159"/>
      <c r="G192" s="44">
        <v>6.8</v>
      </c>
    </row>
    <row r="193" spans="1:8" x14ac:dyDescent="0.2">
      <c r="A193" s="4" t="s">
        <v>83</v>
      </c>
      <c r="B193" s="4" t="s">
        <v>487</v>
      </c>
      <c r="C193" s="4" t="s">
        <v>252</v>
      </c>
      <c r="D193" s="136" t="s">
        <v>403</v>
      </c>
      <c r="E193" s="137"/>
      <c r="F193" s="4" t="s">
        <v>459</v>
      </c>
      <c r="G193" s="65">
        <v>21.914999999999999</v>
      </c>
      <c r="H193" s="15">
        <v>0</v>
      </c>
    </row>
    <row r="194" spans="1:8" ht="12.2" customHeight="1" x14ac:dyDescent="0.2">
      <c r="D194" s="158" t="s">
        <v>593</v>
      </c>
      <c r="E194" s="159"/>
      <c r="F194" s="159"/>
      <c r="G194" s="44">
        <v>21.914999999999999</v>
      </c>
    </row>
    <row r="195" spans="1:8" x14ac:dyDescent="0.2">
      <c r="A195" s="11"/>
      <c r="B195" s="11"/>
      <c r="C195" s="11" t="s">
        <v>103</v>
      </c>
      <c r="D195" s="134" t="s">
        <v>332</v>
      </c>
      <c r="E195" s="135"/>
      <c r="F195" s="11"/>
      <c r="G195" s="67"/>
      <c r="H195" s="25"/>
    </row>
    <row r="196" spans="1:8" x14ac:dyDescent="0.2">
      <c r="A196" s="4" t="s">
        <v>84</v>
      </c>
      <c r="B196" s="4" t="s">
        <v>486</v>
      </c>
      <c r="C196" s="4" t="s">
        <v>192</v>
      </c>
      <c r="D196" s="136" t="s">
        <v>333</v>
      </c>
      <c r="E196" s="137"/>
      <c r="F196" s="4" t="s">
        <v>459</v>
      </c>
      <c r="G196" s="65">
        <v>27.984999999999999</v>
      </c>
      <c r="H196" s="15">
        <v>0</v>
      </c>
    </row>
    <row r="197" spans="1:8" ht="12.2" customHeight="1" x14ac:dyDescent="0.2">
      <c r="D197" s="158" t="s">
        <v>581</v>
      </c>
      <c r="E197" s="159"/>
      <c r="F197" s="159"/>
      <c r="G197" s="44">
        <v>27.984999999999999</v>
      </c>
    </row>
    <row r="198" spans="1:8" x14ac:dyDescent="0.2">
      <c r="A198" s="4" t="s">
        <v>85</v>
      </c>
      <c r="B198" s="4" t="s">
        <v>486</v>
      </c>
      <c r="C198" s="4" t="s">
        <v>193</v>
      </c>
      <c r="D198" s="136" t="s">
        <v>334</v>
      </c>
      <c r="E198" s="137"/>
      <c r="F198" s="4" t="s">
        <v>459</v>
      </c>
      <c r="G198" s="65">
        <v>27.984999999999999</v>
      </c>
      <c r="H198" s="15">
        <v>0</v>
      </c>
    </row>
    <row r="199" spans="1:8" ht="12.2" customHeight="1" x14ac:dyDescent="0.2">
      <c r="D199" s="158" t="s">
        <v>581</v>
      </c>
      <c r="E199" s="159"/>
      <c r="F199" s="159"/>
      <c r="G199" s="44">
        <v>27.984999999999999</v>
      </c>
    </row>
    <row r="200" spans="1:8" x14ac:dyDescent="0.2">
      <c r="A200" s="4" t="s">
        <v>86</v>
      </c>
      <c r="B200" s="4" t="s">
        <v>487</v>
      </c>
      <c r="C200" s="4" t="s">
        <v>192</v>
      </c>
      <c r="D200" s="136" t="s">
        <v>404</v>
      </c>
      <c r="E200" s="137"/>
      <c r="F200" s="4" t="s">
        <v>459</v>
      </c>
      <c r="G200" s="65">
        <v>10.875</v>
      </c>
      <c r="H200" s="15">
        <v>0</v>
      </c>
    </row>
    <row r="201" spans="1:8" ht="12.2" customHeight="1" x14ac:dyDescent="0.2">
      <c r="D201" s="158" t="s">
        <v>582</v>
      </c>
      <c r="E201" s="159"/>
      <c r="F201" s="159"/>
      <c r="G201" s="44">
        <v>10.875</v>
      </c>
    </row>
    <row r="202" spans="1:8" x14ac:dyDescent="0.2">
      <c r="A202" s="4" t="s">
        <v>87</v>
      </c>
      <c r="B202" s="4" t="s">
        <v>487</v>
      </c>
      <c r="C202" s="4" t="s">
        <v>192</v>
      </c>
      <c r="D202" s="136" t="s">
        <v>405</v>
      </c>
      <c r="E202" s="137"/>
      <c r="F202" s="4" t="s">
        <v>459</v>
      </c>
      <c r="G202" s="65">
        <v>49.034999999999997</v>
      </c>
      <c r="H202" s="15">
        <v>0</v>
      </c>
    </row>
    <row r="203" spans="1:8" ht="12.2" customHeight="1" x14ac:dyDescent="0.2">
      <c r="D203" s="158" t="s">
        <v>583</v>
      </c>
      <c r="E203" s="159"/>
      <c r="F203" s="159"/>
      <c r="G203" s="44">
        <v>49.034999999999997</v>
      </c>
    </row>
    <row r="204" spans="1:8" x14ac:dyDescent="0.2">
      <c r="A204" s="4" t="s">
        <v>88</v>
      </c>
      <c r="B204" s="4" t="s">
        <v>487</v>
      </c>
      <c r="C204" s="4" t="s">
        <v>193</v>
      </c>
      <c r="D204" s="136" t="s">
        <v>406</v>
      </c>
      <c r="E204" s="137"/>
      <c r="F204" s="4" t="s">
        <v>459</v>
      </c>
      <c r="G204" s="65">
        <v>59.91</v>
      </c>
      <c r="H204" s="15">
        <v>0</v>
      </c>
    </row>
    <row r="205" spans="1:8" ht="12.2" customHeight="1" x14ac:dyDescent="0.2">
      <c r="D205" s="158" t="s">
        <v>582</v>
      </c>
      <c r="E205" s="159"/>
      <c r="F205" s="159"/>
      <c r="G205" s="44">
        <v>10.875</v>
      </c>
    </row>
    <row r="206" spans="1:8" ht="12.2" customHeight="1" x14ac:dyDescent="0.2">
      <c r="A206" s="4"/>
      <c r="B206" s="4"/>
      <c r="C206" s="4"/>
      <c r="D206" s="158" t="s">
        <v>583</v>
      </c>
      <c r="E206" s="159"/>
      <c r="F206" s="158"/>
      <c r="G206" s="66">
        <v>49.034999999999997</v>
      </c>
      <c r="H206" s="26"/>
    </row>
    <row r="207" spans="1:8" x14ac:dyDescent="0.2">
      <c r="A207" s="4" t="s">
        <v>89</v>
      </c>
      <c r="B207" s="4" t="s">
        <v>487</v>
      </c>
      <c r="C207" s="4" t="s">
        <v>253</v>
      </c>
      <c r="D207" s="136" t="s">
        <v>407</v>
      </c>
      <c r="E207" s="137"/>
      <c r="F207" s="4" t="s">
        <v>459</v>
      </c>
      <c r="G207" s="65">
        <v>49.034999999999997</v>
      </c>
      <c r="H207" s="15">
        <v>0</v>
      </c>
    </row>
    <row r="208" spans="1:8" ht="12.2" customHeight="1" x14ac:dyDescent="0.2">
      <c r="D208" s="158" t="s">
        <v>583</v>
      </c>
      <c r="E208" s="159"/>
      <c r="F208" s="159"/>
      <c r="G208" s="44">
        <v>49.034999999999997</v>
      </c>
    </row>
    <row r="209" spans="1:8" x14ac:dyDescent="0.2">
      <c r="A209" s="4" t="s">
        <v>90</v>
      </c>
      <c r="B209" s="4" t="s">
        <v>488</v>
      </c>
      <c r="C209" s="4" t="s">
        <v>192</v>
      </c>
      <c r="D209" s="136" t="s">
        <v>441</v>
      </c>
      <c r="E209" s="137"/>
      <c r="F209" s="4" t="s">
        <v>459</v>
      </c>
      <c r="G209" s="65">
        <v>385.22500000000002</v>
      </c>
      <c r="H209" s="15">
        <v>0</v>
      </c>
    </row>
    <row r="210" spans="1:8" ht="12.2" customHeight="1" x14ac:dyDescent="0.2">
      <c r="D210" s="158" t="s">
        <v>584</v>
      </c>
      <c r="E210" s="159"/>
      <c r="F210" s="159"/>
      <c r="G210" s="44">
        <v>221.2</v>
      </c>
    </row>
    <row r="211" spans="1:8" ht="12.2" customHeight="1" x14ac:dyDescent="0.2">
      <c r="A211" s="4"/>
      <c r="B211" s="4"/>
      <c r="C211" s="4"/>
      <c r="D211" s="158" t="s">
        <v>585</v>
      </c>
      <c r="E211" s="159"/>
      <c r="F211" s="158"/>
      <c r="G211" s="66">
        <v>141.30000000000001</v>
      </c>
      <c r="H211" s="26"/>
    </row>
    <row r="212" spans="1:8" ht="12.2" customHeight="1" x14ac:dyDescent="0.2">
      <c r="A212" s="4"/>
      <c r="B212" s="4"/>
      <c r="C212" s="4"/>
      <c r="D212" s="158" t="s">
        <v>586</v>
      </c>
      <c r="E212" s="159"/>
      <c r="F212" s="158"/>
      <c r="G212" s="66">
        <v>22.725000000000001</v>
      </c>
      <c r="H212" s="26"/>
    </row>
    <row r="213" spans="1:8" x14ac:dyDescent="0.2">
      <c r="A213" s="4" t="s">
        <v>91</v>
      </c>
      <c r="B213" s="4" t="s">
        <v>488</v>
      </c>
      <c r="C213" s="4" t="s">
        <v>193</v>
      </c>
      <c r="D213" s="136" t="s">
        <v>442</v>
      </c>
      <c r="E213" s="137"/>
      <c r="F213" s="4" t="s">
        <v>459</v>
      </c>
      <c r="G213" s="65">
        <v>385.22500000000002</v>
      </c>
      <c r="H213" s="15">
        <v>0</v>
      </c>
    </row>
    <row r="214" spans="1:8" ht="12.2" customHeight="1" x14ac:dyDescent="0.2">
      <c r="D214" s="158" t="s">
        <v>587</v>
      </c>
      <c r="E214" s="159"/>
      <c r="F214" s="159"/>
      <c r="G214" s="44">
        <v>385.22500000000002</v>
      </c>
    </row>
    <row r="215" spans="1:8" x14ac:dyDescent="0.2">
      <c r="A215" s="11"/>
      <c r="B215" s="11"/>
      <c r="C215" s="11" t="s">
        <v>194</v>
      </c>
      <c r="D215" s="134" t="s">
        <v>335</v>
      </c>
      <c r="E215" s="135"/>
      <c r="F215" s="11"/>
      <c r="G215" s="67"/>
      <c r="H215" s="25"/>
    </row>
    <row r="216" spans="1:8" x14ac:dyDescent="0.2">
      <c r="A216" s="4" t="s">
        <v>92</v>
      </c>
      <c r="B216" s="4" t="s">
        <v>486</v>
      </c>
      <c r="C216" s="4" t="s">
        <v>195</v>
      </c>
      <c r="D216" s="136" t="s">
        <v>336</v>
      </c>
      <c r="E216" s="137"/>
      <c r="F216" s="4" t="s">
        <v>458</v>
      </c>
      <c r="G216" s="65">
        <v>1.679</v>
      </c>
      <c r="H216" s="15">
        <v>0</v>
      </c>
    </row>
    <row r="217" spans="1:8" ht="12.2" customHeight="1" x14ac:dyDescent="0.2">
      <c r="D217" s="158" t="s">
        <v>613</v>
      </c>
      <c r="E217" s="159"/>
      <c r="F217" s="159"/>
      <c r="G217" s="44">
        <v>1.679</v>
      </c>
    </row>
    <row r="218" spans="1:8" x14ac:dyDescent="0.2">
      <c r="A218" s="4" t="s">
        <v>93</v>
      </c>
      <c r="B218" s="4" t="s">
        <v>486</v>
      </c>
      <c r="C218" s="4" t="s">
        <v>196</v>
      </c>
      <c r="D218" s="136" t="s">
        <v>337</v>
      </c>
      <c r="E218" s="137"/>
      <c r="F218" s="4" t="s">
        <v>458</v>
      </c>
      <c r="G218" s="65">
        <v>6.7160000000000002</v>
      </c>
      <c r="H218" s="15">
        <v>0</v>
      </c>
    </row>
    <row r="219" spans="1:8" ht="12.2" customHeight="1" x14ac:dyDescent="0.2">
      <c r="D219" s="158" t="s">
        <v>614</v>
      </c>
      <c r="E219" s="159"/>
      <c r="F219" s="159"/>
      <c r="G219" s="44">
        <v>6.7160000000000002</v>
      </c>
    </row>
    <row r="220" spans="1:8" x14ac:dyDescent="0.2">
      <c r="A220" s="4" t="s">
        <v>94</v>
      </c>
      <c r="B220" s="4" t="s">
        <v>486</v>
      </c>
      <c r="C220" s="4" t="s">
        <v>197</v>
      </c>
      <c r="D220" s="136" t="s">
        <v>338</v>
      </c>
      <c r="E220" s="137"/>
      <c r="F220" s="4" t="s">
        <v>458</v>
      </c>
      <c r="G220" s="65">
        <v>1.679</v>
      </c>
      <c r="H220" s="15">
        <v>0</v>
      </c>
    </row>
    <row r="221" spans="1:8" ht="12.2" customHeight="1" x14ac:dyDescent="0.2">
      <c r="D221" s="158" t="s">
        <v>613</v>
      </c>
      <c r="E221" s="159"/>
      <c r="F221" s="159"/>
      <c r="G221" s="44">
        <v>1.679</v>
      </c>
    </row>
    <row r="222" spans="1:8" x14ac:dyDescent="0.2">
      <c r="A222" s="4" t="s">
        <v>95</v>
      </c>
      <c r="B222" s="4" t="s">
        <v>486</v>
      </c>
      <c r="C222" s="4" t="s">
        <v>198</v>
      </c>
      <c r="D222" s="136" t="s">
        <v>339</v>
      </c>
      <c r="E222" s="137"/>
      <c r="F222" s="4" t="s">
        <v>458</v>
      </c>
      <c r="G222" s="65">
        <v>1.679</v>
      </c>
      <c r="H222" s="15">
        <v>0</v>
      </c>
    </row>
    <row r="223" spans="1:8" ht="12.2" customHeight="1" x14ac:dyDescent="0.2">
      <c r="D223" s="158" t="s">
        <v>613</v>
      </c>
      <c r="E223" s="159"/>
      <c r="F223" s="159"/>
      <c r="G223" s="44">
        <v>1.679</v>
      </c>
    </row>
    <row r="224" spans="1:8" x14ac:dyDescent="0.2">
      <c r="A224" s="4" t="s">
        <v>96</v>
      </c>
      <c r="B224" s="4" t="s">
        <v>486</v>
      </c>
      <c r="C224" s="4" t="s">
        <v>199</v>
      </c>
      <c r="D224" s="136" t="s">
        <v>340</v>
      </c>
      <c r="E224" s="137"/>
      <c r="F224" s="4" t="s">
        <v>458</v>
      </c>
      <c r="G224" s="65">
        <v>5.0369999999999999</v>
      </c>
      <c r="H224" s="15">
        <v>0</v>
      </c>
    </row>
    <row r="225" spans="1:8" ht="12.2" customHeight="1" x14ac:dyDescent="0.2">
      <c r="D225" s="158" t="s">
        <v>615</v>
      </c>
      <c r="E225" s="159"/>
      <c r="F225" s="159"/>
      <c r="G225" s="44">
        <v>5.0369999999999999</v>
      </c>
    </row>
    <row r="226" spans="1:8" x14ac:dyDescent="0.2">
      <c r="A226" s="4" t="s">
        <v>97</v>
      </c>
      <c r="B226" s="4" t="s">
        <v>486</v>
      </c>
      <c r="C226" s="4" t="s">
        <v>200</v>
      </c>
      <c r="D226" s="136" t="s">
        <v>341</v>
      </c>
      <c r="E226" s="137"/>
      <c r="F226" s="4" t="s">
        <v>458</v>
      </c>
      <c r="G226" s="65">
        <v>1.679</v>
      </c>
      <c r="H226" s="15">
        <v>0</v>
      </c>
    </row>
    <row r="227" spans="1:8" ht="12.2" customHeight="1" x14ac:dyDescent="0.2">
      <c r="D227" s="158" t="s">
        <v>613</v>
      </c>
      <c r="E227" s="159"/>
      <c r="F227" s="159"/>
      <c r="G227" s="44">
        <v>1.679</v>
      </c>
    </row>
    <row r="228" spans="1:8" x14ac:dyDescent="0.2">
      <c r="A228" s="4" t="s">
        <v>98</v>
      </c>
      <c r="B228" s="4" t="s">
        <v>486</v>
      </c>
      <c r="C228" s="4" t="s">
        <v>201</v>
      </c>
      <c r="D228" s="136" t="s">
        <v>342</v>
      </c>
      <c r="E228" s="137"/>
      <c r="F228" s="4" t="s">
        <v>458</v>
      </c>
      <c r="G228" s="65">
        <v>1.679</v>
      </c>
      <c r="H228" s="15">
        <v>0</v>
      </c>
    </row>
    <row r="229" spans="1:8" ht="12.2" customHeight="1" x14ac:dyDescent="0.2">
      <c r="D229" s="158" t="s">
        <v>613</v>
      </c>
      <c r="E229" s="159"/>
      <c r="F229" s="159"/>
      <c r="G229" s="44">
        <v>1.679</v>
      </c>
    </row>
    <row r="230" spans="1:8" x14ac:dyDescent="0.2">
      <c r="A230" s="4" t="s">
        <v>99</v>
      </c>
      <c r="B230" s="4" t="s">
        <v>487</v>
      </c>
      <c r="C230" s="4" t="s">
        <v>195</v>
      </c>
      <c r="D230" s="136" t="s">
        <v>336</v>
      </c>
      <c r="E230" s="137"/>
      <c r="F230" s="4" t="s">
        <v>458</v>
      </c>
      <c r="G230" s="65">
        <v>68.709999999999994</v>
      </c>
      <c r="H230" s="15">
        <v>0</v>
      </c>
    </row>
    <row r="231" spans="1:8" ht="12.2" customHeight="1" x14ac:dyDescent="0.2">
      <c r="D231" s="158" t="s">
        <v>616</v>
      </c>
      <c r="E231" s="159"/>
      <c r="F231" s="159"/>
      <c r="G231" s="44">
        <v>68.709999999999994</v>
      </c>
    </row>
    <row r="232" spans="1:8" x14ac:dyDescent="0.2">
      <c r="A232" s="4" t="s">
        <v>100</v>
      </c>
      <c r="B232" s="4" t="s">
        <v>487</v>
      </c>
      <c r="C232" s="4" t="s">
        <v>196</v>
      </c>
      <c r="D232" s="136" t="s">
        <v>337</v>
      </c>
      <c r="E232" s="137"/>
      <c r="F232" s="4" t="s">
        <v>458</v>
      </c>
      <c r="G232" s="65">
        <v>274.83999999999997</v>
      </c>
      <c r="H232" s="15">
        <v>0</v>
      </c>
    </row>
    <row r="233" spans="1:8" ht="12.2" customHeight="1" x14ac:dyDescent="0.2">
      <c r="D233" s="158" t="s">
        <v>617</v>
      </c>
      <c r="E233" s="159"/>
      <c r="F233" s="159"/>
      <c r="G233" s="44">
        <v>274.83999999999997</v>
      </c>
    </row>
    <row r="234" spans="1:8" x14ac:dyDescent="0.2">
      <c r="A234" s="4" t="s">
        <v>101</v>
      </c>
      <c r="B234" s="4" t="s">
        <v>487</v>
      </c>
      <c r="C234" s="4" t="s">
        <v>197</v>
      </c>
      <c r="D234" s="136" t="s">
        <v>338</v>
      </c>
      <c r="E234" s="137"/>
      <c r="F234" s="4" t="s">
        <v>458</v>
      </c>
      <c r="G234" s="65">
        <v>68.709999999999994</v>
      </c>
      <c r="H234" s="15">
        <v>0</v>
      </c>
    </row>
    <row r="235" spans="1:8" ht="12.2" customHeight="1" x14ac:dyDescent="0.2">
      <c r="D235" s="158" t="s">
        <v>616</v>
      </c>
      <c r="E235" s="159"/>
      <c r="F235" s="159"/>
      <c r="G235" s="44">
        <v>68.709999999999994</v>
      </c>
    </row>
    <row r="236" spans="1:8" x14ac:dyDescent="0.2">
      <c r="A236" s="4" t="s">
        <v>102</v>
      </c>
      <c r="B236" s="4" t="s">
        <v>487</v>
      </c>
      <c r="C236" s="4" t="s">
        <v>198</v>
      </c>
      <c r="D236" s="136" t="s">
        <v>339</v>
      </c>
      <c r="E236" s="137"/>
      <c r="F236" s="4" t="s">
        <v>458</v>
      </c>
      <c r="G236" s="65">
        <v>68.709999999999994</v>
      </c>
      <c r="H236" s="15">
        <v>0</v>
      </c>
    </row>
    <row r="237" spans="1:8" ht="12.2" customHeight="1" x14ac:dyDescent="0.2">
      <c r="D237" s="158" t="s">
        <v>616</v>
      </c>
      <c r="E237" s="159"/>
      <c r="F237" s="159"/>
      <c r="G237" s="44">
        <v>68.709999999999994</v>
      </c>
    </row>
    <row r="238" spans="1:8" x14ac:dyDescent="0.2">
      <c r="A238" s="4" t="s">
        <v>103</v>
      </c>
      <c r="B238" s="4" t="s">
        <v>487</v>
      </c>
      <c r="C238" s="4" t="s">
        <v>199</v>
      </c>
      <c r="D238" s="136" t="s">
        <v>340</v>
      </c>
      <c r="E238" s="137"/>
      <c r="F238" s="4" t="s">
        <v>458</v>
      </c>
      <c r="G238" s="65">
        <v>206.13</v>
      </c>
      <c r="H238" s="15">
        <v>0</v>
      </c>
    </row>
    <row r="239" spans="1:8" ht="12.2" customHeight="1" x14ac:dyDescent="0.2">
      <c r="D239" s="158" t="s">
        <v>618</v>
      </c>
      <c r="E239" s="159"/>
      <c r="F239" s="159"/>
      <c r="G239" s="44">
        <v>206.13</v>
      </c>
    </row>
    <row r="240" spans="1:8" x14ac:dyDescent="0.2">
      <c r="A240" s="4" t="s">
        <v>104</v>
      </c>
      <c r="B240" s="4" t="s">
        <v>487</v>
      </c>
      <c r="C240" s="4" t="s">
        <v>200</v>
      </c>
      <c r="D240" s="136" t="s">
        <v>341</v>
      </c>
      <c r="E240" s="137"/>
      <c r="F240" s="4" t="s">
        <v>458</v>
      </c>
      <c r="G240" s="65">
        <v>68.709999999999994</v>
      </c>
      <c r="H240" s="15">
        <v>0</v>
      </c>
    </row>
    <row r="241" spans="1:8" ht="12.2" customHeight="1" x14ac:dyDescent="0.2">
      <c r="D241" s="158" t="s">
        <v>616</v>
      </c>
      <c r="E241" s="159"/>
      <c r="F241" s="159"/>
      <c r="G241" s="44">
        <v>68.709999999999994</v>
      </c>
    </row>
    <row r="242" spans="1:8" x14ac:dyDescent="0.2">
      <c r="A242" s="4" t="s">
        <v>105</v>
      </c>
      <c r="B242" s="4" t="s">
        <v>487</v>
      </c>
      <c r="C242" s="4" t="s">
        <v>201</v>
      </c>
      <c r="D242" s="136" t="s">
        <v>408</v>
      </c>
      <c r="E242" s="137"/>
      <c r="F242" s="4" t="s">
        <v>458</v>
      </c>
      <c r="G242" s="65">
        <v>27.27</v>
      </c>
      <c r="H242" s="15">
        <v>0</v>
      </c>
    </row>
    <row r="243" spans="1:8" ht="12.2" customHeight="1" x14ac:dyDescent="0.2">
      <c r="D243" s="158" t="s">
        <v>619</v>
      </c>
      <c r="E243" s="159"/>
      <c r="F243" s="159"/>
      <c r="G243" s="44">
        <v>27.27</v>
      </c>
    </row>
    <row r="244" spans="1:8" x14ac:dyDescent="0.2">
      <c r="A244" s="4" t="s">
        <v>106</v>
      </c>
      <c r="B244" s="4" t="s">
        <v>487</v>
      </c>
      <c r="C244" s="4" t="s">
        <v>254</v>
      </c>
      <c r="D244" s="136" t="s">
        <v>409</v>
      </c>
      <c r="E244" s="137"/>
      <c r="F244" s="4" t="s">
        <v>458</v>
      </c>
      <c r="G244" s="65">
        <v>33.003999999999998</v>
      </c>
      <c r="H244" s="15">
        <v>0</v>
      </c>
    </row>
    <row r="245" spans="1:8" ht="12.2" customHeight="1" x14ac:dyDescent="0.2">
      <c r="D245" s="158" t="s">
        <v>620</v>
      </c>
      <c r="E245" s="159"/>
      <c r="F245" s="159"/>
      <c r="G245" s="44">
        <v>33.003999999999998</v>
      </c>
    </row>
    <row r="246" spans="1:8" x14ac:dyDescent="0.2">
      <c r="A246" s="4" t="s">
        <v>107</v>
      </c>
      <c r="B246" s="4" t="s">
        <v>487</v>
      </c>
      <c r="C246" s="4" t="s">
        <v>255</v>
      </c>
      <c r="D246" s="136" t="s">
        <v>410</v>
      </c>
      <c r="E246" s="137"/>
      <c r="F246" s="4" t="s">
        <v>458</v>
      </c>
      <c r="G246" s="65">
        <v>1.528</v>
      </c>
      <c r="H246" s="15">
        <v>0</v>
      </c>
    </row>
    <row r="247" spans="1:8" ht="12.2" customHeight="1" x14ac:dyDescent="0.2">
      <c r="D247" s="158" t="s">
        <v>621</v>
      </c>
      <c r="E247" s="159"/>
      <c r="F247" s="159"/>
      <c r="G247" s="44">
        <v>1.528</v>
      </c>
    </row>
    <row r="248" spans="1:8" x14ac:dyDescent="0.2">
      <c r="A248" s="4" t="s">
        <v>108</v>
      </c>
      <c r="B248" s="4" t="s">
        <v>487</v>
      </c>
      <c r="C248" s="4" t="s">
        <v>256</v>
      </c>
      <c r="D248" s="136" t="s">
        <v>411</v>
      </c>
      <c r="E248" s="137"/>
      <c r="F248" s="4" t="s">
        <v>458</v>
      </c>
      <c r="G248" s="65">
        <v>3.133</v>
      </c>
      <c r="H248" s="15">
        <v>0</v>
      </c>
    </row>
    <row r="249" spans="1:8" ht="12.2" customHeight="1" x14ac:dyDescent="0.2">
      <c r="D249" s="158" t="s">
        <v>622</v>
      </c>
      <c r="E249" s="159"/>
      <c r="F249" s="159"/>
      <c r="G249" s="44">
        <v>3.133</v>
      </c>
    </row>
    <row r="250" spans="1:8" x14ac:dyDescent="0.2">
      <c r="A250" s="4" t="s">
        <v>109</v>
      </c>
      <c r="B250" s="4" t="s">
        <v>487</v>
      </c>
      <c r="C250" s="4" t="s">
        <v>257</v>
      </c>
      <c r="D250" s="136" t="s">
        <v>412</v>
      </c>
      <c r="E250" s="137"/>
      <c r="F250" s="4" t="s">
        <v>458</v>
      </c>
      <c r="G250" s="65">
        <v>3.7749999999999999</v>
      </c>
      <c r="H250" s="15">
        <v>0</v>
      </c>
    </row>
    <row r="251" spans="1:8" ht="12.2" customHeight="1" x14ac:dyDescent="0.2">
      <c r="D251" s="158" t="s">
        <v>623</v>
      </c>
      <c r="E251" s="159"/>
      <c r="F251" s="159"/>
      <c r="G251" s="44">
        <v>3.7749999999999999</v>
      </c>
    </row>
    <row r="252" spans="1:8" x14ac:dyDescent="0.2">
      <c r="A252" s="4" t="s">
        <v>110</v>
      </c>
      <c r="B252" s="4" t="s">
        <v>488</v>
      </c>
      <c r="C252" s="4" t="s">
        <v>195</v>
      </c>
      <c r="D252" s="136" t="s">
        <v>336</v>
      </c>
      <c r="E252" s="137"/>
      <c r="F252" s="4" t="s">
        <v>458</v>
      </c>
      <c r="G252" s="65">
        <v>23.114000000000001</v>
      </c>
      <c r="H252" s="15">
        <v>0</v>
      </c>
    </row>
    <row r="253" spans="1:8" ht="12.2" customHeight="1" x14ac:dyDescent="0.2">
      <c r="D253" s="158" t="s">
        <v>624</v>
      </c>
      <c r="E253" s="159"/>
      <c r="F253" s="159"/>
      <c r="G253" s="44">
        <v>23.114000000000001</v>
      </c>
    </row>
    <row r="254" spans="1:8" x14ac:dyDescent="0.2">
      <c r="A254" s="4" t="s">
        <v>111</v>
      </c>
      <c r="B254" s="4" t="s">
        <v>488</v>
      </c>
      <c r="C254" s="4" t="s">
        <v>196</v>
      </c>
      <c r="D254" s="136" t="s">
        <v>337</v>
      </c>
      <c r="E254" s="137"/>
      <c r="F254" s="4" t="s">
        <v>458</v>
      </c>
      <c r="G254" s="65">
        <v>92.456000000000003</v>
      </c>
      <c r="H254" s="15">
        <v>0</v>
      </c>
    </row>
    <row r="255" spans="1:8" ht="12.2" customHeight="1" x14ac:dyDescent="0.2">
      <c r="D255" s="158" t="s">
        <v>625</v>
      </c>
      <c r="E255" s="159"/>
      <c r="F255" s="159"/>
      <c r="G255" s="44">
        <v>92.456000000000003</v>
      </c>
    </row>
    <row r="256" spans="1:8" x14ac:dyDescent="0.2">
      <c r="A256" s="4" t="s">
        <v>112</v>
      </c>
      <c r="B256" s="4" t="s">
        <v>488</v>
      </c>
      <c r="C256" s="4" t="s">
        <v>197</v>
      </c>
      <c r="D256" s="136" t="s">
        <v>338</v>
      </c>
      <c r="E256" s="137"/>
      <c r="F256" s="4" t="s">
        <v>458</v>
      </c>
      <c r="G256" s="65">
        <v>23.114000000000001</v>
      </c>
      <c r="H256" s="15">
        <v>0</v>
      </c>
    </row>
    <row r="257" spans="1:8" ht="12.2" customHeight="1" x14ac:dyDescent="0.2">
      <c r="D257" s="158" t="s">
        <v>624</v>
      </c>
      <c r="E257" s="159"/>
      <c r="F257" s="159"/>
      <c r="G257" s="44">
        <v>23.114000000000001</v>
      </c>
    </row>
    <row r="258" spans="1:8" x14ac:dyDescent="0.2">
      <c r="A258" s="4" t="s">
        <v>113</v>
      </c>
      <c r="B258" s="4" t="s">
        <v>488</v>
      </c>
      <c r="C258" s="4" t="s">
        <v>198</v>
      </c>
      <c r="D258" s="136" t="s">
        <v>339</v>
      </c>
      <c r="E258" s="137"/>
      <c r="F258" s="4" t="s">
        <v>458</v>
      </c>
      <c r="G258" s="65">
        <v>23.114000000000001</v>
      </c>
      <c r="H258" s="15">
        <v>0</v>
      </c>
    </row>
    <row r="259" spans="1:8" ht="12.2" customHeight="1" x14ac:dyDescent="0.2">
      <c r="D259" s="158" t="s">
        <v>624</v>
      </c>
      <c r="E259" s="159"/>
      <c r="F259" s="159"/>
      <c r="G259" s="44">
        <v>23.114000000000001</v>
      </c>
    </row>
    <row r="260" spans="1:8" x14ac:dyDescent="0.2">
      <c r="A260" s="4" t="s">
        <v>114</v>
      </c>
      <c r="B260" s="4" t="s">
        <v>488</v>
      </c>
      <c r="C260" s="4" t="s">
        <v>199</v>
      </c>
      <c r="D260" s="136" t="s">
        <v>340</v>
      </c>
      <c r="E260" s="137"/>
      <c r="F260" s="4" t="s">
        <v>458</v>
      </c>
      <c r="G260" s="65">
        <v>69.341999999999999</v>
      </c>
      <c r="H260" s="15">
        <v>0</v>
      </c>
    </row>
    <row r="261" spans="1:8" ht="12.2" customHeight="1" x14ac:dyDescent="0.2">
      <c r="D261" s="158" t="s">
        <v>626</v>
      </c>
      <c r="E261" s="159"/>
      <c r="F261" s="159"/>
      <c r="G261" s="44">
        <v>69.341999999999999</v>
      </c>
    </row>
    <row r="262" spans="1:8" x14ac:dyDescent="0.2">
      <c r="A262" s="4" t="s">
        <v>115</v>
      </c>
      <c r="B262" s="4" t="s">
        <v>488</v>
      </c>
      <c r="C262" s="4" t="s">
        <v>200</v>
      </c>
      <c r="D262" s="136" t="s">
        <v>341</v>
      </c>
      <c r="E262" s="137"/>
      <c r="F262" s="4" t="s">
        <v>458</v>
      </c>
      <c r="G262" s="65">
        <v>23.114000000000001</v>
      </c>
      <c r="H262" s="15">
        <v>0</v>
      </c>
    </row>
    <row r="263" spans="1:8" ht="12.2" customHeight="1" x14ac:dyDescent="0.2">
      <c r="D263" s="158" t="s">
        <v>624</v>
      </c>
      <c r="E263" s="159"/>
      <c r="F263" s="159"/>
      <c r="G263" s="44">
        <v>23.114000000000001</v>
      </c>
    </row>
    <row r="264" spans="1:8" x14ac:dyDescent="0.2">
      <c r="A264" s="4" t="s">
        <v>116</v>
      </c>
      <c r="B264" s="4" t="s">
        <v>488</v>
      </c>
      <c r="C264" s="4" t="s">
        <v>201</v>
      </c>
      <c r="D264" s="136" t="s">
        <v>342</v>
      </c>
      <c r="E264" s="137"/>
      <c r="F264" s="4" t="s">
        <v>458</v>
      </c>
      <c r="G264" s="65">
        <v>23.114000000000001</v>
      </c>
      <c r="H264" s="15">
        <v>0</v>
      </c>
    </row>
    <row r="265" spans="1:8" ht="12.2" customHeight="1" x14ac:dyDescent="0.2">
      <c r="D265" s="158" t="s">
        <v>627</v>
      </c>
      <c r="E265" s="159"/>
      <c r="F265" s="159"/>
      <c r="G265" s="44">
        <v>23.114000000000001</v>
      </c>
    </row>
    <row r="266" spans="1:8" x14ac:dyDescent="0.2">
      <c r="A266" s="11"/>
      <c r="B266" s="11"/>
      <c r="C266" s="11" t="s">
        <v>279</v>
      </c>
      <c r="D266" s="134" t="s">
        <v>445</v>
      </c>
      <c r="E266" s="135"/>
      <c r="F266" s="11"/>
      <c r="G266" s="67"/>
      <c r="H266" s="25"/>
    </row>
    <row r="267" spans="1:8" x14ac:dyDescent="0.2">
      <c r="A267" s="4" t="s">
        <v>117</v>
      </c>
      <c r="B267" s="4" t="s">
        <v>279</v>
      </c>
      <c r="C267" s="4" t="s">
        <v>280</v>
      </c>
      <c r="D267" s="136" t="s">
        <v>446</v>
      </c>
      <c r="E267" s="137"/>
      <c r="F267" s="4" t="s">
        <v>456</v>
      </c>
      <c r="G267" s="65">
        <v>1</v>
      </c>
      <c r="H267" s="15">
        <v>0</v>
      </c>
    </row>
    <row r="268" spans="1:8" x14ac:dyDescent="0.2">
      <c r="A268" s="4" t="s">
        <v>118</v>
      </c>
      <c r="B268" s="4" t="s">
        <v>279</v>
      </c>
      <c r="C268" s="4" t="s">
        <v>281</v>
      </c>
      <c r="D268" s="136" t="s">
        <v>447</v>
      </c>
      <c r="E268" s="137"/>
      <c r="F268" s="4" t="s">
        <v>456</v>
      </c>
      <c r="G268" s="65">
        <v>1</v>
      </c>
      <c r="H268" s="15">
        <v>0</v>
      </c>
    </row>
    <row r="269" spans="1:8" x14ac:dyDescent="0.2">
      <c r="A269" s="4" t="s">
        <v>119</v>
      </c>
      <c r="B269" s="4" t="s">
        <v>279</v>
      </c>
      <c r="C269" s="4" t="s">
        <v>282</v>
      </c>
      <c r="D269" s="136" t="s">
        <v>448</v>
      </c>
      <c r="E269" s="137"/>
      <c r="F269" s="4" t="s">
        <v>456</v>
      </c>
      <c r="G269" s="65">
        <v>1</v>
      </c>
      <c r="H269" s="15">
        <v>0</v>
      </c>
    </row>
    <row r="270" spans="1:8" x14ac:dyDescent="0.2">
      <c r="A270" s="4" t="s">
        <v>120</v>
      </c>
      <c r="B270" s="4" t="s">
        <v>279</v>
      </c>
      <c r="C270" s="4" t="s">
        <v>283</v>
      </c>
      <c r="D270" s="136" t="s">
        <v>449</v>
      </c>
      <c r="E270" s="137"/>
      <c r="F270" s="4" t="s">
        <v>456</v>
      </c>
      <c r="G270" s="65">
        <v>1</v>
      </c>
      <c r="H270" s="15">
        <v>0</v>
      </c>
    </row>
    <row r="271" spans="1:8" x14ac:dyDescent="0.2">
      <c r="A271" s="4" t="s">
        <v>121</v>
      </c>
      <c r="B271" s="4" t="s">
        <v>279</v>
      </c>
      <c r="C271" s="4" t="s">
        <v>284</v>
      </c>
      <c r="D271" s="136" t="s">
        <v>450</v>
      </c>
      <c r="E271" s="137"/>
      <c r="F271" s="4" t="s">
        <v>456</v>
      </c>
      <c r="G271" s="65">
        <v>1</v>
      </c>
      <c r="H271" s="15">
        <v>0</v>
      </c>
    </row>
    <row r="272" spans="1:8" x14ac:dyDescent="0.2">
      <c r="A272" s="11"/>
      <c r="B272" s="11"/>
      <c r="C272" s="11" t="s">
        <v>202</v>
      </c>
      <c r="D272" s="134" t="s">
        <v>343</v>
      </c>
      <c r="E272" s="135"/>
      <c r="F272" s="11"/>
      <c r="G272" s="67"/>
      <c r="H272" s="25"/>
    </row>
    <row r="273" spans="1:8" x14ac:dyDescent="0.2">
      <c r="A273" s="4" t="s">
        <v>122</v>
      </c>
      <c r="B273" s="4" t="s">
        <v>486</v>
      </c>
      <c r="C273" s="4" t="s">
        <v>203</v>
      </c>
      <c r="D273" s="136" t="s">
        <v>344</v>
      </c>
      <c r="E273" s="137"/>
      <c r="F273" s="4" t="s">
        <v>458</v>
      </c>
      <c r="G273" s="65">
        <v>35.402999999999999</v>
      </c>
      <c r="H273" s="15">
        <v>0</v>
      </c>
    </row>
    <row r="274" spans="1:8" ht="12.2" customHeight="1" x14ac:dyDescent="0.2">
      <c r="D274" s="158" t="s">
        <v>628</v>
      </c>
      <c r="E274" s="159"/>
      <c r="F274" s="159"/>
      <c r="G274" s="44">
        <v>35.402999999999999</v>
      </c>
    </row>
    <row r="275" spans="1:8" x14ac:dyDescent="0.2">
      <c r="A275" s="4" t="s">
        <v>123</v>
      </c>
      <c r="B275" s="4" t="s">
        <v>487</v>
      </c>
      <c r="C275" s="4" t="s">
        <v>203</v>
      </c>
      <c r="D275" s="136" t="s">
        <v>344</v>
      </c>
      <c r="E275" s="137"/>
      <c r="F275" s="4" t="s">
        <v>458</v>
      </c>
      <c r="G275" s="65">
        <v>70.009</v>
      </c>
      <c r="H275" s="15">
        <v>0</v>
      </c>
    </row>
    <row r="276" spans="1:8" ht="12.2" customHeight="1" x14ac:dyDescent="0.2">
      <c r="D276" s="158" t="s">
        <v>629</v>
      </c>
      <c r="E276" s="159"/>
      <c r="F276" s="159"/>
      <c r="G276" s="44">
        <v>70.009</v>
      </c>
    </row>
    <row r="277" spans="1:8" x14ac:dyDescent="0.2">
      <c r="A277" s="4" t="s">
        <v>124</v>
      </c>
      <c r="B277" s="4" t="s">
        <v>488</v>
      </c>
      <c r="C277" s="4" t="s">
        <v>203</v>
      </c>
      <c r="D277" s="136" t="s">
        <v>344</v>
      </c>
      <c r="E277" s="137"/>
      <c r="F277" s="4" t="s">
        <v>458</v>
      </c>
      <c r="G277" s="65">
        <v>28.137</v>
      </c>
      <c r="H277" s="15">
        <v>0</v>
      </c>
    </row>
    <row r="278" spans="1:8" ht="12.2" customHeight="1" x14ac:dyDescent="0.2">
      <c r="D278" s="158" t="s">
        <v>630</v>
      </c>
      <c r="E278" s="159"/>
      <c r="F278" s="159"/>
      <c r="G278" s="44">
        <v>28.137</v>
      </c>
    </row>
    <row r="279" spans="1:8" x14ac:dyDescent="0.2">
      <c r="A279" s="11"/>
      <c r="B279" s="11"/>
      <c r="C279" s="11" t="s">
        <v>204</v>
      </c>
      <c r="D279" s="134" t="s">
        <v>345</v>
      </c>
      <c r="E279" s="135"/>
      <c r="F279" s="11"/>
      <c r="G279" s="67"/>
      <c r="H279" s="25"/>
    </row>
    <row r="280" spans="1:8" x14ac:dyDescent="0.2">
      <c r="A280" s="4" t="s">
        <v>125</v>
      </c>
      <c r="B280" s="4" t="s">
        <v>486</v>
      </c>
      <c r="C280" s="4" t="s">
        <v>205</v>
      </c>
      <c r="D280" s="136" t="s">
        <v>346</v>
      </c>
      <c r="E280" s="137"/>
      <c r="F280" s="4" t="s">
        <v>459</v>
      </c>
      <c r="G280" s="65">
        <v>16.356999999999999</v>
      </c>
      <c r="H280" s="15">
        <v>0</v>
      </c>
    </row>
    <row r="281" spans="1:8" ht="12.2" customHeight="1" x14ac:dyDescent="0.2">
      <c r="D281" s="158" t="s">
        <v>589</v>
      </c>
      <c r="E281" s="159"/>
      <c r="F281" s="159"/>
      <c r="G281" s="44">
        <v>16.356999999999999</v>
      </c>
    </row>
    <row r="282" spans="1:8" x14ac:dyDescent="0.2">
      <c r="A282" s="5" t="s">
        <v>126</v>
      </c>
      <c r="B282" s="5" t="s">
        <v>486</v>
      </c>
      <c r="C282" s="5" t="s">
        <v>206</v>
      </c>
      <c r="D282" s="151" t="s">
        <v>347</v>
      </c>
      <c r="E282" s="152"/>
      <c r="F282" s="5" t="s">
        <v>459</v>
      </c>
      <c r="G282" s="68">
        <v>18.811</v>
      </c>
      <c r="H282" s="16">
        <v>0</v>
      </c>
    </row>
    <row r="283" spans="1:8" ht="12.2" customHeight="1" x14ac:dyDescent="0.2">
      <c r="D283" s="162" t="s">
        <v>631</v>
      </c>
      <c r="E283" s="163"/>
      <c r="F283" s="163"/>
      <c r="G283" s="45">
        <v>16.356999999999999</v>
      </c>
    </row>
    <row r="284" spans="1:8" ht="12.2" customHeight="1" x14ac:dyDescent="0.2">
      <c r="A284" s="5"/>
      <c r="B284" s="5"/>
      <c r="C284" s="5"/>
      <c r="D284" s="162" t="s">
        <v>632</v>
      </c>
      <c r="E284" s="163"/>
      <c r="F284" s="162"/>
      <c r="G284" s="69">
        <v>2.4540000000000002</v>
      </c>
      <c r="H284" s="27"/>
    </row>
    <row r="285" spans="1:8" x14ac:dyDescent="0.2">
      <c r="A285" s="4" t="s">
        <v>127</v>
      </c>
      <c r="B285" s="4" t="s">
        <v>486</v>
      </c>
      <c r="C285" s="4" t="s">
        <v>207</v>
      </c>
      <c r="D285" s="136" t="s">
        <v>348</v>
      </c>
      <c r="E285" s="137"/>
      <c r="F285" s="4" t="s">
        <v>458</v>
      </c>
      <c r="G285" s="65">
        <v>0.02</v>
      </c>
      <c r="H285" s="15">
        <v>0</v>
      </c>
    </row>
    <row r="286" spans="1:8" ht="12.2" customHeight="1" x14ac:dyDescent="0.2">
      <c r="D286" s="158" t="s">
        <v>633</v>
      </c>
      <c r="E286" s="159"/>
      <c r="F286" s="159"/>
      <c r="G286" s="44">
        <v>0.02</v>
      </c>
    </row>
    <row r="287" spans="1:8" x14ac:dyDescent="0.2">
      <c r="A287" s="11"/>
      <c r="B287" s="11"/>
      <c r="C287" s="11" t="s">
        <v>208</v>
      </c>
      <c r="D287" s="134" t="s">
        <v>349</v>
      </c>
      <c r="E287" s="135"/>
      <c r="F287" s="11"/>
      <c r="G287" s="67"/>
      <c r="H287" s="25"/>
    </row>
    <row r="288" spans="1:8" x14ac:dyDescent="0.2">
      <c r="A288" s="4" t="s">
        <v>128</v>
      </c>
      <c r="B288" s="4" t="s">
        <v>486</v>
      </c>
      <c r="C288" s="4" t="s">
        <v>209</v>
      </c>
      <c r="D288" s="136" t="s">
        <v>350</v>
      </c>
      <c r="E288" s="137"/>
      <c r="F288" s="4" t="s">
        <v>460</v>
      </c>
      <c r="G288" s="65">
        <v>31.7</v>
      </c>
      <c r="H288" s="15">
        <v>0</v>
      </c>
    </row>
    <row r="289" spans="1:8" ht="12.2" customHeight="1" x14ac:dyDescent="0.2">
      <c r="D289" s="158" t="s">
        <v>591</v>
      </c>
      <c r="E289" s="159"/>
      <c r="F289" s="159"/>
      <c r="G289" s="44">
        <v>31.7</v>
      </c>
    </row>
    <row r="290" spans="1:8" x14ac:dyDescent="0.2">
      <c r="A290" s="5" t="s">
        <v>129</v>
      </c>
      <c r="B290" s="5" t="s">
        <v>486</v>
      </c>
      <c r="C290" s="5" t="s">
        <v>210</v>
      </c>
      <c r="D290" s="151" t="s">
        <v>351</v>
      </c>
      <c r="E290" s="152"/>
      <c r="F290" s="5" t="s">
        <v>458</v>
      </c>
      <c r="G290" s="68">
        <v>8.7999999999999995E-2</v>
      </c>
      <c r="H290" s="16">
        <v>0</v>
      </c>
    </row>
    <row r="291" spans="1:8" ht="12.2" customHeight="1" x14ac:dyDescent="0.2">
      <c r="D291" s="162" t="s">
        <v>634</v>
      </c>
      <c r="E291" s="163"/>
      <c r="F291" s="163"/>
      <c r="G291" s="45">
        <v>8.4000000000000005E-2</v>
      </c>
    </row>
    <row r="292" spans="1:8" ht="12.2" customHeight="1" x14ac:dyDescent="0.2">
      <c r="A292" s="5"/>
      <c r="B292" s="5"/>
      <c r="C292" s="5"/>
      <c r="D292" s="162" t="s">
        <v>635</v>
      </c>
      <c r="E292" s="163"/>
      <c r="F292" s="162"/>
      <c r="G292" s="69">
        <v>4.0000000000000001E-3</v>
      </c>
      <c r="H292" s="27"/>
    </row>
    <row r="293" spans="1:8" x14ac:dyDescent="0.2">
      <c r="A293" s="4" t="s">
        <v>130</v>
      </c>
      <c r="B293" s="4" t="s">
        <v>486</v>
      </c>
      <c r="C293" s="4" t="s">
        <v>211</v>
      </c>
      <c r="D293" s="136" t="s">
        <v>352</v>
      </c>
      <c r="E293" s="137"/>
      <c r="F293" s="4" t="s">
        <v>458</v>
      </c>
      <c r="G293" s="65">
        <v>0.126</v>
      </c>
      <c r="H293" s="15">
        <v>0</v>
      </c>
    </row>
    <row r="294" spans="1:8" ht="12.2" customHeight="1" x14ac:dyDescent="0.2">
      <c r="D294" s="158" t="s">
        <v>636</v>
      </c>
      <c r="E294" s="159"/>
      <c r="F294" s="159"/>
      <c r="G294" s="44">
        <v>0.126</v>
      </c>
    </row>
    <row r="295" spans="1:8" x14ac:dyDescent="0.2">
      <c r="A295" s="4" t="s">
        <v>131</v>
      </c>
      <c r="B295" s="4" t="s">
        <v>487</v>
      </c>
      <c r="C295" s="4" t="s">
        <v>209</v>
      </c>
      <c r="D295" s="136" t="s">
        <v>413</v>
      </c>
      <c r="E295" s="137"/>
      <c r="F295" s="4" t="s">
        <v>460</v>
      </c>
      <c r="G295" s="65">
        <v>36.825000000000003</v>
      </c>
      <c r="H295" s="15">
        <v>0</v>
      </c>
    </row>
    <row r="296" spans="1:8" ht="12.2" customHeight="1" x14ac:dyDescent="0.2">
      <c r="D296" s="158" t="s">
        <v>588</v>
      </c>
      <c r="E296" s="159"/>
      <c r="F296" s="159"/>
      <c r="G296" s="44">
        <v>36.825000000000003</v>
      </c>
    </row>
    <row r="297" spans="1:8" x14ac:dyDescent="0.2">
      <c r="A297" s="5" t="s">
        <v>132</v>
      </c>
      <c r="B297" s="5" t="s">
        <v>487</v>
      </c>
      <c r="C297" s="5" t="s">
        <v>210</v>
      </c>
      <c r="D297" s="151" t="s">
        <v>414</v>
      </c>
      <c r="E297" s="152"/>
      <c r="F297" s="5" t="s">
        <v>458</v>
      </c>
      <c r="G297" s="68">
        <v>0.10299999999999999</v>
      </c>
      <c r="H297" s="16">
        <v>0</v>
      </c>
    </row>
    <row r="298" spans="1:8" ht="12.2" customHeight="1" x14ac:dyDescent="0.2">
      <c r="D298" s="162" t="s">
        <v>637</v>
      </c>
      <c r="E298" s="163"/>
      <c r="F298" s="163"/>
      <c r="G298" s="45">
        <v>9.8000000000000004E-2</v>
      </c>
    </row>
    <row r="299" spans="1:8" ht="12.2" customHeight="1" x14ac:dyDescent="0.2">
      <c r="A299" s="5"/>
      <c r="B299" s="5"/>
      <c r="C299" s="5"/>
      <c r="D299" s="162" t="s">
        <v>638</v>
      </c>
      <c r="E299" s="163"/>
      <c r="F299" s="162"/>
      <c r="G299" s="69">
        <v>5.0000000000000001E-3</v>
      </c>
      <c r="H299" s="27"/>
    </row>
    <row r="300" spans="1:8" x14ac:dyDescent="0.2">
      <c r="A300" s="4" t="s">
        <v>133</v>
      </c>
      <c r="B300" s="4" t="s">
        <v>487</v>
      </c>
      <c r="C300" s="4" t="s">
        <v>211</v>
      </c>
      <c r="D300" s="136" t="s">
        <v>352</v>
      </c>
      <c r="E300" s="137"/>
      <c r="F300" s="4" t="s">
        <v>458</v>
      </c>
      <c r="G300" s="65">
        <v>0.14699999999999999</v>
      </c>
      <c r="H300" s="15">
        <v>0</v>
      </c>
    </row>
    <row r="301" spans="1:8" ht="12.2" customHeight="1" x14ac:dyDescent="0.2">
      <c r="D301" s="158" t="s">
        <v>639</v>
      </c>
      <c r="E301" s="159"/>
      <c r="F301" s="159"/>
      <c r="G301" s="44">
        <v>0.14699999999999999</v>
      </c>
    </row>
    <row r="302" spans="1:8" x14ac:dyDescent="0.2">
      <c r="A302" s="11"/>
      <c r="B302" s="11"/>
      <c r="C302" s="11" t="s">
        <v>258</v>
      </c>
      <c r="D302" s="134" t="s">
        <v>415</v>
      </c>
      <c r="E302" s="135"/>
      <c r="F302" s="11"/>
      <c r="G302" s="67"/>
      <c r="H302" s="25"/>
    </row>
    <row r="303" spans="1:8" x14ac:dyDescent="0.2">
      <c r="A303" s="4" t="s">
        <v>134</v>
      </c>
      <c r="B303" s="4" t="s">
        <v>487</v>
      </c>
      <c r="C303" s="4" t="s">
        <v>259</v>
      </c>
      <c r="D303" s="136" t="s">
        <v>416</v>
      </c>
      <c r="E303" s="137"/>
      <c r="F303" s="4" t="s">
        <v>459</v>
      </c>
      <c r="G303" s="65">
        <v>21.914999999999999</v>
      </c>
      <c r="H303" s="15">
        <v>0</v>
      </c>
    </row>
    <row r="304" spans="1:8" ht="12.2" customHeight="1" x14ac:dyDescent="0.2">
      <c r="D304" s="158" t="s">
        <v>593</v>
      </c>
      <c r="E304" s="159"/>
      <c r="F304" s="159"/>
      <c r="G304" s="44">
        <v>21.914999999999999</v>
      </c>
    </row>
    <row r="305" spans="1:8" x14ac:dyDescent="0.2">
      <c r="A305" s="4" t="s">
        <v>135</v>
      </c>
      <c r="B305" s="4" t="s">
        <v>487</v>
      </c>
      <c r="C305" s="4" t="s">
        <v>260</v>
      </c>
      <c r="D305" s="136" t="s">
        <v>417</v>
      </c>
      <c r="E305" s="137"/>
      <c r="F305" s="4" t="s">
        <v>460</v>
      </c>
      <c r="G305" s="65">
        <v>6.8</v>
      </c>
      <c r="H305" s="15">
        <v>0</v>
      </c>
    </row>
    <row r="306" spans="1:8" ht="12.2" customHeight="1" x14ac:dyDescent="0.2">
      <c r="D306" s="158" t="s">
        <v>612</v>
      </c>
      <c r="E306" s="159"/>
      <c r="F306" s="159"/>
      <c r="G306" s="44">
        <v>6.8</v>
      </c>
    </row>
    <row r="307" spans="1:8" x14ac:dyDescent="0.2">
      <c r="A307" s="5" t="s">
        <v>136</v>
      </c>
      <c r="B307" s="5" t="s">
        <v>487</v>
      </c>
      <c r="C307" s="5" t="s">
        <v>261</v>
      </c>
      <c r="D307" s="151" t="s">
        <v>418</v>
      </c>
      <c r="E307" s="152"/>
      <c r="F307" s="5" t="s">
        <v>459</v>
      </c>
      <c r="G307" s="68">
        <v>0.748</v>
      </c>
      <c r="H307" s="16">
        <v>0</v>
      </c>
    </row>
    <row r="308" spans="1:8" ht="12.2" customHeight="1" x14ac:dyDescent="0.2">
      <c r="D308" s="162" t="s">
        <v>640</v>
      </c>
      <c r="E308" s="163"/>
      <c r="F308" s="163"/>
      <c r="G308" s="45">
        <v>0.68</v>
      </c>
    </row>
    <row r="309" spans="1:8" ht="12.2" customHeight="1" x14ac:dyDescent="0.2">
      <c r="A309" s="5"/>
      <c r="B309" s="5"/>
      <c r="C309" s="5"/>
      <c r="D309" s="162" t="s">
        <v>641</v>
      </c>
      <c r="E309" s="163"/>
      <c r="F309" s="162"/>
      <c r="G309" s="69">
        <v>6.8000000000000005E-2</v>
      </c>
      <c r="H309" s="27"/>
    </row>
    <row r="310" spans="1:8" x14ac:dyDescent="0.2">
      <c r="A310" s="4" t="s">
        <v>137</v>
      </c>
      <c r="B310" s="4" t="s">
        <v>487</v>
      </c>
      <c r="C310" s="4" t="s">
        <v>262</v>
      </c>
      <c r="D310" s="136" t="s">
        <v>419</v>
      </c>
      <c r="E310" s="137"/>
      <c r="F310" s="4" t="s">
        <v>460</v>
      </c>
      <c r="G310" s="65">
        <v>4.5330000000000004</v>
      </c>
      <c r="H310" s="15">
        <v>0</v>
      </c>
    </row>
    <row r="311" spans="1:8" ht="12.2" customHeight="1" x14ac:dyDescent="0.2">
      <c r="D311" s="158" t="s">
        <v>642</v>
      </c>
      <c r="E311" s="159"/>
      <c r="F311" s="159"/>
      <c r="G311" s="44">
        <v>4.5330000000000004</v>
      </c>
    </row>
    <row r="312" spans="1:8" x14ac:dyDescent="0.2">
      <c r="A312" s="4" t="s">
        <v>138</v>
      </c>
      <c r="B312" s="4" t="s">
        <v>487</v>
      </c>
      <c r="C312" s="4" t="s">
        <v>263</v>
      </c>
      <c r="D312" s="136" t="s">
        <v>420</v>
      </c>
      <c r="E312" s="137"/>
      <c r="F312" s="4" t="s">
        <v>459</v>
      </c>
      <c r="G312" s="65">
        <v>21.914999999999999</v>
      </c>
      <c r="H312" s="15">
        <v>0</v>
      </c>
    </row>
    <row r="313" spans="1:8" ht="12.2" customHeight="1" x14ac:dyDescent="0.2">
      <c r="D313" s="158" t="s">
        <v>593</v>
      </c>
      <c r="E313" s="159"/>
      <c r="F313" s="159"/>
      <c r="G313" s="44">
        <v>21.914999999999999</v>
      </c>
    </row>
    <row r="314" spans="1:8" x14ac:dyDescent="0.2">
      <c r="A314" s="5" t="s">
        <v>139</v>
      </c>
      <c r="B314" s="5" t="s">
        <v>487</v>
      </c>
      <c r="C314" s="5" t="s">
        <v>261</v>
      </c>
      <c r="D314" s="151" t="s">
        <v>418</v>
      </c>
      <c r="E314" s="152"/>
      <c r="F314" s="5" t="s">
        <v>459</v>
      </c>
      <c r="G314" s="68">
        <v>23.010999999999999</v>
      </c>
      <c r="H314" s="16">
        <v>0</v>
      </c>
    </row>
    <row r="315" spans="1:8" ht="12.2" customHeight="1" x14ac:dyDescent="0.2">
      <c r="D315" s="162" t="s">
        <v>643</v>
      </c>
      <c r="E315" s="163"/>
      <c r="F315" s="163"/>
      <c r="G315" s="45">
        <v>21.914999999999999</v>
      </c>
    </row>
    <row r="316" spans="1:8" ht="12.2" customHeight="1" x14ac:dyDescent="0.2">
      <c r="A316" s="5"/>
      <c r="B316" s="5"/>
      <c r="C316" s="5"/>
      <c r="D316" s="162" t="s">
        <v>644</v>
      </c>
      <c r="E316" s="163"/>
      <c r="F316" s="162"/>
      <c r="G316" s="69">
        <v>1.0960000000000001</v>
      </c>
      <c r="H316" s="27"/>
    </row>
    <row r="317" spans="1:8" x14ac:dyDescent="0.2">
      <c r="A317" s="4" t="s">
        <v>140</v>
      </c>
      <c r="B317" s="4" t="s">
        <v>487</v>
      </c>
      <c r="C317" s="4" t="s">
        <v>264</v>
      </c>
      <c r="D317" s="136" t="s">
        <v>421</v>
      </c>
      <c r="E317" s="137"/>
      <c r="F317" s="4" t="s">
        <v>460</v>
      </c>
      <c r="G317" s="65">
        <v>23.35</v>
      </c>
      <c r="H317" s="15">
        <v>0</v>
      </c>
    </row>
    <row r="318" spans="1:8" ht="12.2" customHeight="1" x14ac:dyDescent="0.2">
      <c r="D318" s="158" t="s">
        <v>645</v>
      </c>
      <c r="E318" s="159"/>
      <c r="F318" s="159"/>
      <c r="G318" s="44">
        <v>23.35</v>
      </c>
    </row>
    <row r="319" spans="1:8" x14ac:dyDescent="0.2">
      <c r="A319" s="4" t="s">
        <v>141</v>
      </c>
      <c r="B319" s="4" t="s">
        <v>487</v>
      </c>
      <c r="C319" s="4" t="s">
        <v>265</v>
      </c>
      <c r="D319" s="136" t="s">
        <v>422</v>
      </c>
      <c r="E319" s="137"/>
      <c r="F319" s="4" t="s">
        <v>459</v>
      </c>
      <c r="G319" s="65">
        <v>21.914999999999999</v>
      </c>
      <c r="H319" s="15">
        <v>0</v>
      </c>
    </row>
    <row r="320" spans="1:8" ht="12.2" customHeight="1" x14ac:dyDescent="0.2">
      <c r="D320" s="158" t="s">
        <v>593</v>
      </c>
      <c r="E320" s="159"/>
      <c r="F320" s="159"/>
      <c r="G320" s="44">
        <v>21.914999999999999</v>
      </c>
    </row>
    <row r="321" spans="1:8" x14ac:dyDescent="0.2">
      <c r="A321" s="4" t="s">
        <v>142</v>
      </c>
      <c r="B321" s="4" t="s">
        <v>487</v>
      </c>
      <c r="C321" s="4" t="s">
        <v>266</v>
      </c>
      <c r="D321" s="136" t="s">
        <v>423</v>
      </c>
      <c r="E321" s="137"/>
      <c r="F321" s="4" t="s">
        <v>459</v>
      </c>
      <c r="G321" s="65">
        <v>21.914999999999999</v>
      </c>
      <c r="H321" s="15">
        <v>0</v>
      </c>
    </row>
    <row r="322" spans="1:8" ht="12.2" customHeight="1" x14ac:dyDescent="0.2">
      <c r="D322" s="158" t="s">
        <v>593</v>
      </c>
      <c r="E322" s="159"/>
      <c r="F322" s="159"/>
      <c r="G322" s="44">
        <v>21.914999999999999</v>
      </c>
    </row>
    <row r="323" spans="1:8" x14ac:dyDescent="0.2">
      <c r="A323" s="4" t="s">
        <v>143</v>
      </c>
      <c r="B323" s="4" t="s">
        <v>487</v>
      </c>
      <c r="C323" s="4" t="s">
        <v>267</v>
      </c>
      <c r="D323" s="136" t="s">
        <v>424</v>
      </c>
      <c r="E323" s="137"/>
      <c r="F323" s="4" t="s">
        <v>458</v>
      </c>
      <c r="G323" s="65">
        <v>0.55600000000000005</v>
      </c>
      <c r="H323" s="15">
        <v>0</v>
      </c>
    </row>
    <row r="324" spans="1:8" ht="12.2" customHeight="1" x14ac:dyDescent="0.2">
      <c r="D324" s="158" t="s">
        <v>646</v>
      </c>
      <c r="E324" s="159"/>
      <c r="F324" s="159"/>
      <c r="G324" s="44">
        <v>0.55600000000000005</v>
      </c>
    </row>
    <row r="325" spans="1:8" x14ac:dyDescent="0.2">
      <c r="A325" s="11"/>
      <c r="B325" s="11"/>
      <c r="C325" s="11" t="s">
        <v>268</v>
      </c>
      <c r="D325" s="134" t="s">
        <v>425</v>
      </c>
      <c r="E325" s="135"/>
      <c r="F325" s="11"/>
      <c r="G325" s="67"/>
      <c r="H325" s="25"/>
    </row>
    <row r="326" spans="1:8" x14ac:dyDescent="0.2">
      <c r="A326" s="4" t="s">
        <v>144</v>
      </c>
      <c r="B326" s="4" t="s">
        <v>487</v>
      </c>
      <c r="C326" s="4" t="s">
        <v>269</v>
      </c>
      <c r="D326" s="136" t="s">
        <v>426</v>
      </c>
      <c r="E326" s="137"/>
      <c r="F326" s="4" t="s">
        <v>459</v>
      </c>
      <c r="G326" s="65">
        <v>49.034999999999997</v>
      </c>
      <c r="H326" s="15">
        <v>0</v>
      </c>
    </row>
    <row r="327" spans="1:8" ht="12.2" customHeight="1" x14ac:dyDescent="0.2">
      <c r="D327" s="158" t="s">
        <v>583</v>
      </c>
      <c r="E327" s="159"/>
      <c r="F327" s="159"/>
      <c r="G327" s="44">
        <v>49.034999999999997</v>
      </c>
    </row>
    <row r="328" spans="1:8" x14ac:dyDescent="0.2">
      <c r="A328" s="4" t="s">
        <v>145</v>
      </c>
      <c r="B328" s="4" t="s">
        <v>487</v>
      </c>
      <c r="C328" s="4" t="s">
        <v>270</v>
      </c>
      <c r="D328" s="136" t="s">
        <v>427</v>
      </c>
      <c r="E328" s="137"/>
      <c r="F328" s="4" t="s">
        <v>459</v>
      </c>
      <c r="G328" s="65">
        <v>49.034999999999997</v>
      </c>
      <c r="H328" s="15">
        <v>0</v>
      </c>
    </row>
    <row r="329" spans="1:8" ht="12.2" customHeight="1" x14ac:dyDescent="0.2">
      <c r="D329" s="158" t="s">
        <v>583</v>
      </c>
      <c r="E329" s="159"/>
      <c r="F329" s="159"/>
      <c r="G329" s="44">
        <v>49.034999999999997</v>
      </c>
    </row>
    <row r="330" spans="1:8" x14ac:dyDescent="0.2">
      <c r="A330" s="5" t="s">
        <v>146</v>
      </c>
      <c r="B330" s="5" t="s">
        <v>487</v>
      </c>
      <c r="C330" s="5" t="s">
        <v>271</v>
      </c>
      <c r="D330" s="151" t="s">
        <v>428</v>
      </c>
      <c r="E330" s="152"/>
      <c r="F330" s="5" t="s">
        <v>459</v>
      </c>
      <c r="G330" s="68">
        <v>51.487000000000002</v>
      </c>
      <c r="H330" s="16">
        <v>0</v>
      </c>
    </row>
    <row r="331" spans="1:8" ht="12.2" customHeight="1" x14ac:dyDescent="0.2">
      <c r="D331" s="162" t="s">
        <v>647</v>
      </c>
      <c r="E331" s="163"/>
      <c r="F331" s="163"/>
      <c r="G331" s="45">
        <v>49.034999999999997</v>
      </c>
    </row>
    <row r="332" spans="1:8" ht="12.2" customHeight="1" x14ac:dyDescent="0.2">
      <c r="A332" s="5"/>
      <c r="B332" s="5"/>
      <c r="C332" s="5"/>
      <c r="D332" s="162" t="s">
        <v>648</v>
      </c>
      <c r="E332" s="163"/>
      <c r="F332" s="162"/>
      <c r="G332" s="69">
        <v>2.452</v>
      </c>
      <c r="H332" s="27"/>
    </row>
    <row r="333" spans="1:8" x14ac:dyDescent="0.2">
      <c r="A333" s="4" t="s">
        <v>147</v>
      </c>
      <c r="B333" s="4" t="s">
        <v>487</v>
      </c>
      <c r="C333" s="4" t="s">
        <v>272</v>
      </c>
      <c r="D333" s="136" t="s">
        <v>429</v>
      </c>
      <c r="E333" s="137"/>
      <c r="F333" s="4" t="s">
        <v>459</v>
      </c>
      <c r="G333" s="65">
        <v>49.034999999999997</v>
      </c>
      <c r="H333" s="15">
        <v>0</v>
      </c>
    </row>
    <row r="334" spans="1:8" ht="12.2" customHeight="1" x14ac:dyDescent="0.2">
      <c r="D334" s="158" t="s">
        <v>583</v>
      </c>
      <c r="E334" s="159"/>
      <c r="F334" s="159"/>
      <c r="G334" s="44">
        <v>49.034999999999997</v>
      </c>
    </row>
    <row r="335" spans="1:8" x14ac:dyDescent="0.2">
      <c r="A335" s="4" t="s">
        <v>148</v>
      </c>
      <c r="B335" s="4" t="s">
        <v>487</v>
      </c>
      <c r="C335" s="4" t="s">
        <v>273</v>
      </c>
      <c r="D335" s="136" t="s">
        <v>430</v>
      </c>
      <c r="E335" s="137"/>
      <c r="F335" s="4" t="s">
        <v>460</v>
      </c>
      <c r="G335" s="65">
        <v>31.35</v>
      </c>
      <c r="H335" s="15">
        <v>0</v>
      </c>
    </row>
    <row r="336" spans="1:8" ht="12.2" customHeight="1" x14ac:dyDescent="0.2">
      <c r="D336" s="158" t="s">
        <v>645</v>
      </c>
      <c r="E336" s="159"/>
      <c r="F336" s="159"/>
      <c r="G336" s="44">
        <v>23.35</v>
      </c>
    </row>
    <row r="337" spans="1:8" ht="12.2" customHeight="1" x14ac:dyDescent="0.2">
      <c r="A337" s="4"/>
      <c r="B337" s="4"/>
      <c r="C337" s="4"/>
      <c r="D337" s="158" t="s">
        <v>649</v>
      </c>
      <c r="E337" s="159"/>
      <c r="F337" s="158"/>
      <c r="G337" s="66">
        <v>8</v>
      </c>
      <c r="H337" s="26"/>
    </row>
    <row r="338" spans="1:8" x14ac:dyDescent="0.2">
      <c r="A338" s="5" t="s">
        <v>149</v>
      </c>
      <c r="B338" s="5" t="s">
        <v>487</v>
      </c>
      <c r="C338" s="5" t="s">
        <v>274</v>
      </c>
      <c r="D338" s="151" t="s">
        <v>431</v>
      </c>
      <c r="E338" s="152"/>
      <c r="F338" s="5" t="s">
        <v>460</v>
      </c>
      <c r="G338" s="68">
        <v>25.684999999999999</v>
      </c>
      <c r="H338" s="16">
        <v>0</v>
      </c>
    </row>
    <row r="339" spans="1:8" ht="12.2" customHeight="1" x14ac:dyDescent="0.2">
      <c r="D339" s="162" t="s">
        <v>650</v>
      </c>
      <c r="E339" s="163"/>
      <c r="F339" s="163"/>
      <c r="G339" s="45">
        <v>23.35</v>
      </c>
    </row>
    <row r="340" spans="1:8" ht="12.2" customHeight="1" x14ac:dyDescent="0.2">
      <c r="A340" s="5"/>
      <c r="B340" s="5"/>
      <c r="C340" s="5"/>
      <c r="D340" s="162" t="s">
        <v>651</v>
      </c>
      <c r="E340" s="163"/>
      <c r="F340" s="162"/>
      <c r="G340" s="69">
        <v>2.335</v>
      </c>
      <c r="H340" s="27"/>
    </row>
    <row r="341" spans="1:8" x14ac:dyDescent="0.2">
      <c r="A341" s="5" t="s">
        <v>150</v>
      </c>
      <c r="B341" s="5" t="s">
        <v>487</v>
      </c>
      <c r="C341" s="5" t="s">
        <v>275</v>
      </c>
      <c r="D341" s="151" t="s">
        <v>432</v>
      </c>
      <c r="E341" s="152"/>
      <c r="F341" s="5" t="s">
        <v>460</v>
      </c>
      <c r="G341" s="68">
        <v>8.8000000000000007</v>
      </c>
      <c r="H341" s="16">
        <v>0</v>
      </c>
    </row>
    <row r="342" spans="1:8" ht="12.2" customHeight="1" x14ac:dyDescent="0.2">
      <c r="D342" s="162" t="s">
        <v>652</v>
      </c>
      <c r="E342" s="163"/>
      <c r="F342" s="163"/>
      <c r="G342" s="45">
        <v>8</v>
      </c>
    </row>
    <row r="343" spans="1:8" ht="12.2" customHeight="1" x14ac:dyDescent="0.2">
      <c r="A343" s="5"/>
      <c r="B343" s="5"/>
      <c r="C343" s="5"/>
      <c r="D343" s="162" t="s">
        <v>653</v>
      </c>
      <c r="E343" s="163"/>
      <c r="F343" s="162"/>
      <c r="G343" s="69">
        <v>0.8</v>
      </c>
      <c r="H343" s="27"/>
    </row>
    <row r="344" spans="1:8" x14ac:dyDescent="0.2">
      <c r="A344" s="4" t="s">
        <v>151</v>
      </c>
      <c r="B344" s="4" t="s">
        <v>487</v>
      </c>
      <c r="C344" s="4" t="s">
        <v>276</v>
      </c>
      <c r="D344" s="136" t="s">
        <v>433</v>
      </c>
      <c r="E344" s="137"/>
      <c r="F344" s="4" t="s">
        <v>458</v>
      </c>
      <c r="G344" s="65">
        <v>0.67900000000000005</v>
      </c>
      <c r="H344" s="15">
        <v>0</v>
      </c>
    </row>
    <row r="345" spans="1:8" ht="12.2" customHeight="1" x14ac:dyDescent="0.2">
      <c r="D345" s="158" t="s">
        <v>654</v>
      </c>
      <c r="E345" s="159"/>
      <c r="F345" s="159"/>
      <c r="G345" s="44">
        <v>0.67900000000000005</v>
      </c>
    </row>
    <row r="346" spans="1:8" x14ac:dyDescent="0.2">
      <c r="A346" s="11"/>
      <c r="B346" s="11"/>
      <c r="C346" s="11" t="s">
        <v>212</v>
      </c>
      <c r="D346" s="134" t="s">
        <v>353</v>
      </c>
      <c r="E346" s="135"/>
      <c r="F346" s="11"/>
      <c r="G346" s="67"/>
      <c r="H346" s="25"/>
    </row>
    <row r="347" spans="1:8" x14ac:dyDescent="0.2">
      <c r="A347" s="4" t="s">
        <v>152</v>
      </c>
      <c r="B347" s="4" t="s">
        <v>486</v>
      </c>
      <c r="C347" s="4" t="s">
        <v>213</v>
      </c>
      <c r="D347" s="136" t="s">
        <v>354</v>
      </c>
      <c r="E347" s="137"/>
      <c r="F347" s="4" t="s">
        <v>459</v>
      </c>
      <c r="G347" s="65">
        <v>75.56</v>
      </c>
      <c r="H347" s="15">
        <v>0</v>
      </c>
    </row>
    <row r="348" spans="1:8" ht="12.2" customHeight="1" x14ac:dyDescent="0.2">
      <c r="D348" s="158" t="s">
        <v>655</v>
      </c>
      <c r="E348" s="159"/>
      <c r="F348" s="159"/>
      <c r="G348" s="44">
        <v>75.56</v>
      </c>
    </row>
    <row r="349" spans="1:8" x14ac:dyDescent="0.2">
      <c r="A349" s="4" t="s">
        <v>153</v>
      </c>
      <c r="B349" s="4" t="s">
        <v>486</v>
      </c>
      <c r="C349" s="4" t="s">
        <v>214</v>
      </c>
      <c r="D349" s="136" t="s">
        <v>355</v>
      </c>
      <c r="E349" s="137"/>
      <c r="F349" s="4" t="s">
        <v>459</v>
      </c>
      <c r="G349" s="65">
        <v>27.984999999999999</v>
      </c>
      <c r="H349" s="15">
        <v>0</v>
      </c>
    </row>
    <row r="350" spans="1:8" ht="12.2" customHeight="1" x14ac:dyDescent="0.2">
      <c r="D350" s="158" t="s">
        <v>581</v>
      </c>
      <c r="E350" s="159"/>
      <c r="F350" s="159"/>
      <c r="G350" s="44">
        <v>27.984999999999999</v>
      </c>
    </row>
    <row r="351" spans="1:8" x14ac:dyDescent="0.2">
      <c r="A351" s="4" t="s">
        <v>154</v>
      </c>
      <c r="B351" s="4" t="s">
        <v>486</v>
      </c>
      <c r="C351" s="4" t="s">
        <v>215</v>
      </c>
      <c r="D351" s="136" t="s">
        <v>356</v>
      </c>
      <c r="E351" s="137"/>
      <c r="F351" s="4" t="s">
        <v>459</v>
      </c>
      <c r="G351" s="65">
        <v>55.97</v>
      </c>
      <c r="H351" s="15">
        <v>0</v>
      </c>
    </row>
    <row r="352" spans="1:8" ht="12.2" customHeight="1" x14ac:dyDescent="0.2">
      <c r="D352" s="158" t="s">
        <v>656</v>
      </c>
      <c r="E352" s="159"/>
      <c r="F352" s="159"/>
      <c r="G352" s="44">
        <v>55.97</v>
      </c>
    </row>
    <row r="353" spans="1:8" x14ac:dyDescent="0.2">
      <c r="A353" s="4" t="s">
        <v>155</v>
      </c>
      <c r="B353" s="4" t="s">
        <v>486</v>
      </c>
      <c r="C353" s="4" t="s">
        <v>216</v>
      </c>
      <c r="D353" s="136" t="s">
        <v>357</v>
      </c>
      <c r="E353" s="137"/>
      <c r="F353" s="4" t="s">
        <v>459</v>
      </c>
      <c r="G353" s="65">
        <v>103.545</v>
      </c>
      <c r="H353" s="15">
        <v>0</v>
      </c>
    </row>
    <row r="354" spans="1:8" ht="12.2" customHeight="1" x14ac:dyDescent="0.2">
      <c r="D354" s="158" t="s">
        <v>657</v>
      </c>
      <c r="E354" s="159"/>
      <c r="F354" s="159"/>
      <c r="G354" s="44">
        <v>103.545</v>
      </c>
    </row>
    <row r="355" spans="1:8" x14ac:dyDescent="0.2">
      <c r="A355" s="4" t="s">
        <v>156</v>
      </c>
      <c r="B355" s="4" t="s">
        <v>486</v>
      </c>
      <c r="C355" s="4" t="s">
        <v>217</v>
      </c>
      <c r="D355" s="136" t="s">
        <v>358</v>
      </c>
      <c r="E355" s="137"/>
      <c r="F355" s="4" t="s">
        <v>459</v>
      </c>
      <c r="G355" s="65">
        <v>103.545</v>
      </c>
      <c r="H355" s="15">
        <v>0</v>
      </c>
    </row>
    <row r="356" spans="1:8" ht="12.2" customHeight="1" x14ac:dyDescent="0.2">
      <c r="D356" s="158" t="s">
        <v>657</v>
      </c>
      <c r="E356" s="159"/>
      <c r="F356" s="159"/>
      <c r="G356" s="44">
        <v>103.545</v>
      </c>
    </row>
    <row r="357" spans="1:8" x14ac:dyDescent="0.2">
      <c r="A357" s="4" t="s">
        <v>157</v>
      </c>
      <c r="B357" s="4" t="s">
        <v>486</v>
      </c>
      <c r="C357" s="4" t="s">
        <v>218</v>
      </c>
      <c r="D357" s="136" t="s">
        <v>359</v>
      </c>
      <c r="E357" s="137"/>
      <c r="F357" s="4" t="s">
        <v>459</v>
      </c>
      <c r="G357" s="65">
        <v>75.56</v>
      </c>
      <c r="H357" s="15">
        <v>0</v>
      </c>
    </row>
    <row r="358" spans="1:8" ht="12.2" customHeight="1" x14ac:dyDescent="0.2">
      <c r="D358" s="158" t="s">
        <v>655</v>
      </c>
      <c r="E358" s="159"/>
      <c r="F358" s="159"/>
      <c r="G358" s="44">
        <v>75.56</v>
      </c>
    </row>
    <row r="359" spans="1:8" x14ac:dyDescent="0.2">
      <c r="A359" s="4" t="s">
        <v>158</v>
      </c>
      <c r="B359" s="4" t="s">
        <v>486</v>
      </c>
      <c r="C359" s="4" t="s">
        <v>219</v>
      </c>
      <c r="D359" s="136" t="s">
        <v>360</v>
      </c>
      <c r="E359" s="137"/>
      <c r="F359" s="4" t="s">
        <v>459</v>
      </c>
      <c r="G359" s="65">
        <v>75.56</v>
      </c>
      <c r="H359" s="15">
        <v>0</v>
      </c>
    </row>
    <row r="360" spans="1:8" ht="12.2" customHeight="1" x14ac:dyDescent="0.2">
      <c r="D360" s="158" t="s">
        <v>655</v>
      </c>
      <c r="E360" s="159"/>
      <c r="F360" s="159"/>
      <c r="G360" s="44">
        <v>75.56</v>
      </c>
    </row>
    <row r="361" spans="1:8" x14ac:dyDescent="0.2">
      <c r="A361" s="4" t="s">
        <v>159</v>
      </c>
      <c r="B361" s="4" t="s">
        <v>488</v>
      </c>
      <c r="C361" s="4" t="s">
        <v>214</v>
      </c>
      <c r="D361" s="136" t="s">
        <v>355</v>
      </c>
      <c r="E361" s="137"/>
      <c r="F361" s="4" t="s">
        <v>459</v>
      </c>
      <c r="G361" s="65">
        <v>385.22500000000002</v>
      </c>
      <c r="H361" s="15">
        <v>0</v>
      </c>
    </row>
    <row r="362" spans="1:8" ht="12.2" customHeight="1" x14ac:dyDescent="0.2">
      <c r="D362" s="158" t="s">
        <v>587</v>
      </c>
      <c r="E362" s="159"/>
      <c r="F362" s="159"/>
      <c r="G362" s="44">
        <v>385.22500000000002</v>
      </c>
    </row>
    <row r="363" spans="1:8" x14ac:dyDescent="0.2">
      <c r="A363" s="4" t="s">
        <v>160</v>
      </c>
      <c r="B363" s="4" t="s">
        <v>488</v>
      </c>
      <c r="C363" s="4" t="s">
        <v>215</v>
      </c>
      <c r="D363" s="136" t="s">
        <v>443</v>
      </c>
      <c r="E363" s="137"/>
      <c r="F363" s="4" t="s">
        <v>459</v>
      </c>
      <c r="G363" s="65">
        <v>118.577</v>
      </c>
      <c r="H363" s="15">
        <v>0</v>
      </c>
    </row>
    <row r="364" spans="1:8" ht="12.2" customHeight="1" x14ac:dyDescent="0.2">
      <c r="D364" s="158" t="s">
        <v>658</v>
      </c>
      <c r="E364" s="159"/>
      <c r="F364" s="159"/>
      <c r="G364" s="44">
        <v>27.177</v>
      </c>
    </row>
    <row r="365" spans="1:8" ht="12.2" customHeight="1" x14ac:dyDescent="0.2">
      <c r="A365" s="4"/>
      <c r="B365" s="4"/>
      <c r="C365" s="4"/>
      <c r="D365" s="158" t="s">
        <v>659</v>
      </c>
      <c r="E365" s="159"/>
      <c r="F365" s="158"/>
      <c r="G365" s="66">
        <v>44.6</v>
      </c>
      <c r="H365" s="26"/>
    </row>
    <row r="366" spans="1:8" ht="12.2" customHeight="1" x14ac:dyDescent="0.2">
      <c r="A366" s="4"/>
      <c r="B366" s="4"/>
      <c r="C366" s="4"/>
      <c r="D366" s="158" t="s">
        <v>660</v>
      </c>
      <c r="E366" s="159"/>
      <c r="F366" s="158"/>
      <c r="G366" s="66">
        <v>46.8</v>
      </c>
      <c r="H366" s="26"/>
    </row>
    <row r="367" spans="1:8" x14ac:dyDescent="0.2">
      <c r="A367" s="4" t="s">
        <v>161</v>
      </c>
      <c r="B367" s="4" t="s">
        <v>488</v>
      </c>
      <c r="C367" s="4" t="s">
        <v>216</v>
      </c>
      <c r="D367" s="136" t="s">
        <v>357</v>
      </c>
      <c r="E367" s="137"/>
      <c r="F367" s="4" t="s">
        <v>459</v>
      </c>
      <c r="G367" s="65">
        <v>385.22500000000002</v>
      </c>
      <c r="H367" s="15">
        <v>0</v>
      </c>
    </row>
    <row r="368" spans="1:8" ht="12.2" customHeight="1" x14ac:dyDescent="0.2">
      <c r="D368" s="158" t="s">
        <v>587</v>
      </c>
      <c r="E368" s="159"/>
      <c r="F368" s="159"/>
      <c r="G368" s="44">
        <v>385.22500000000002</v>
      </c>
    </row>
    <row r="369" spans="1:8" x14ac:dyDescent="0.2">
      <c r="A369" s="4" t="s">
        <v>162</v>
      </c>
      <c r="B369" s="4" t="s">
        <v>488</v>
      </c>
      <c r="C369" s="4" t="s">
        <v>217</v>
      </c>
      <c r="D369" s="136" t="s">
        <v>444</v>
      </c>
      <c r="E369" s="137"/>
      <c r="F369" s="4" t="s">
        <v>459</v>
      </c>
      <c r="G369" s="65">
        <v>385.22500000000002</v>
      </c>
      <c r="H369" s="15">
        <v>0</v>
      </c>
    </row>
    <row r="370" spans="1:8" ht="12.2" customHeight="1" x14ac:dyDescent="0.2">
      <c r="D370" s="158" t="s">
        <v>587</v>
      </c>
      <c r="E370" s="159"/>
      <c r="F370" s="159"/>
      <c r="G370" s="44">
        <v>385.22500000000002</v>
      </c>
    </row>
    <row r="372" spans="1:8" ht="11.25" customHeight="1" x14ac:dyDescent="0.2">
      <c r="A372" s="8" t="s">
        <v>163</v>
      </c>
    </row>
    <row r="373" spans="1:8" x14ac:dyDescent="0.2">
      <c r="A373" s="97"/>
      <c r="B373" s="88"/>
      <c r="C373" s="88"/>
      <c r="D373" s="88"/>
      <c r="E373" s="88"/>
      <c r="F373" s="88"/>
      <c r="G373" s="88"/>
    </row>
  </sheetData>
  <mergeCells count="379">
    <mergeCell ref="D370:F370"/>
    <mergeCell ref="A373:G373"/>
    <mergeCell ref="D364:F364"/>
    <mergeCell ref="D365:F365"/>
    <mergeCell ref="D366:F366"/>
    <mergeCell ref="D367:E367"/>
    <mergeCell ref="D368:F368"/>
    <mergeCell ref="D369:E369"/>
    <mergeCell ref="D358:F358"/>
    <mergeCell ref="D359:E359"/>
    <mergeCell ref="D360:F360"/>
    <mergeCell ref="D361:E361"/>
    <mergeCell ref="D362:F362"/>
    <mergeCell ref="D363:E363"/>
    <mergeCell ref="D352:F352"/>
    <mergeCell ref="D353:E353"/>
    <mergeCell ref="D354:F354"/>
    <mergeCell ref="D355:E355"/>
    <mergeCell ref="D356:F356"/>
    <mergeCell ref="D357:E357"/>
    <mergeCell ref="D346:E346"/>
    <mergeCell ref="D347:E347"/>
    <mergeCell ref="D348:F348"/>
    <mergeCell ref="D349:E349"/>
    <mergeCell ref="D350:F350"/>
    <mergeCell ref="D351:E351"/>
    <mergeCell ref="D340:F340"/>
    <mergeCell ref="D341:E341"/>
    <mergeCell ref="D342:F342"/>
    <mergeCell ref="D343:F343"/>
    <mergeCell ref="D344:E344"/>
    <mergeCell ref="D345:F345"/>
    <mergeCell ref="D334:F334"/>
    <mergeCell ref="D335:E335"/>
    <mergeCell ref="D336:F336"/>
    <mergeCell ref="D337:F337"/>
    <mergeCell ref="D338:E338"/>
    <mergeCell ref="D339:F339"/>
    <mergeCell ref="D328:E328"/>
    <mergeCell ref="D329:F329"/>
    <mergeCell ref="D330:E330"/>
    <mergeCell ref="D331:F331"/>
    <mergeCell ref="D332:F332"/>
    <mergeCell ref="D333:E333"/>
    <mergeCell ref="D322:F322"/>
    <mergeCell ref="D323:E323"/>
    <mergeCell ref="D324:F324"/>
    <mergeCell ref="D325:E325"/>
    <mergeCell ref="D326:E326"/>
    <mergeCell ref="D327:F327"/>
    <mergeCell ref="D316:F316"/>
    <mergeCell ref="D317:E317"/>
    <mergeCell ref="D318:F318"/>
    <mergeCell ref="D319:E319"/>
    <mergeCell ref="D320:F320"/>
    <mergeCell ref="D321:E321"/>
    <mergeCell ref="D310:E310"/>
    <mergeCell ref="D311:F311"/>
    <mergeCell ref="D312:E312"/>
    <mergeCell ref="D313:F313"/>
    <mergeCell ref="D314:E314"/>
    <mergeCell ref="D315:F315"/>
    <mergeCell ref="D304:F304"/>
    <mergeCell ref="D305:E305"/>
    <mergeCell ref="D306:F306"/>
    <mergeCell ref="D307:E307"/>
    <mergeCell ref="D308:F308"/>
    <mergeCell ref="D309:F309"/>
    <mergeCell ref="D298:F298"/>
    <mergeCell ref="D299:F299"/>
    <mergeCell ref="D300:E300"/>
    <mergeCell ref="D301:F301"/>
    <mergeCell ref="D302:E302"/>
    <mergeCell ref="D303:E303"/>
    <mergeCell ref="D292:F292"/>
    <mergeCell ref="D293:E293"/>
    <mergeCell ref="D294:F294"/>
    <mergeCell ref="D295:E295"/>
    <mergeCell ref="D296:F296"/>
    <mergeCell ref="D297:E297"/>
    <mergeCell ref="D286:F286"/>
    <mergeCell ref="D287:E287"/>
    <mergeCell ref="D288:E288"/>
    <mergeCell ref="D289:F289"/>
    <mergeCell ref="D290:E290"/>
    <mergeCell ref="D291:F291"/>
    <mergeCell ref="D280:E280"/>
    <mergeCell ref="D281:F281"/>
    <mergeCell ref="D282:E282"/>
    <mergeCell ref="D283:F283"/>
    <mergeCell ref="D284:F284"/>
    <mergeCell ref="D285:E285"/>
    <mergeCell ref="D274:F274"/>
    <mergeCell ref="D275:E275"/>
    <mergeCell ref="D276:F276"/>
    <mergeCell ref="D277:E277"/>
    <mergeCell ref="D278:F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F263"/>
    <mergeCell ref="D264:E264"/>
    <mergeCell ref="D265:F265"/>
    <mergeCell ref="D266:E266"/>
    <mergeCell ref="D267:E267"/>
    <mergeCell ref="D256:E256"/>
    <mergeCell ref="D257:F257"/>
    <mergeCell ref="D258:E258"/>
    <mergeCell ref="D259:F259"/>
    <mergeCell ref="D260:E260"/>
    <mergeCell ref="D261:F261"/>
    <mergeCell ref="D250:E250"/>
    <mergeCell ref="D251:F251"/>
    <mergeCell ref="D252:E252"/>
    <mergeCell ref="D253:F253"/>
    <mergeCell ref="D254:E254"/>
    <mergeCell ref="D255:F255"/>
    <mergeCell ref="D244:E244"/>
    <mergeCell ref="D245:F245"/>
    <mergeCell ref="D246:E246"/>
    <mergeCell ref="D247:F247"/>
    <mergeCell ref="D248:E248"/>
    <mergeCell ref="D249:F249"/>
    <mergeCell ref="D238:E238"/>
    <mergeCell ref="D239:F239"/>
    <mergeCell ref="D240:E240"/>
    <mergeCell ref="D241:F241"/>
    <mergeCell ref="D242:E242"/>
    <mergeCell ref="D243:F243"/>
    <mergeCell ref="D232:E232"/>
    <mergeCell ref="D233:F233"/>
    <mergeCell ref="D234:E234"/>
    <mergeCell ref="D235:F235"/>
    <mergeCell ref="D236:E236"/>
    <mergeCell ref="D237:F237"/>
    <mergeCell ref="D226:E226"/>
    <mergeCell ref="D227:F227"/>
    <mergeCell ref="D228:E228"/>
    <mergeCell ref="D229:F229"/>
    <mergeCell ref="D230:E230"/>
    <mergeCell ref="D231:F231"/>
    <mergeCell ref="D220:E220"/>
    <mergeCell ref="D221:F221"/>
    <mergeCell ref="D222:E222"/>
    <mergeCell ref="D223:F223"/>
    <mergeCell ref="D224:E224"/>
    <mergeCell ref="D225:F225"/>
    <mergeCell ref="D214:F214"/>
    <mergeCell ref="D215:E215"/>
    <mergeCell ref="D216:E216"/>
    <mergeCell ref="D217:F217"/>
    <mergeCell ref="D218:E218"/>
    <mergeCell ref="D219:F219"/>
    <mergeCell ref="D208:F208"/>
    <mergeCell ref="D209:E209"/>
    <mergeCell ref="D210:F210"/>
    <mergeCell ref="D211:F211"/>
    <mergeCell ref="D212:F212"/>
    <mergeCell ref="D213:E213"/>
    <mergeCell ref="D202:E202"/>
    <mergeCell ref="D203:F203"/>
    <mergeCell ref="D204:E204"/>
    <mergeCell ref="D205:F205"/>
    <mergeCell ref="D206:F206"/>
    <mergeCell ref="D207:E207"/>
    <mergeCell ref="D196:E196"/>
    <mergeCell ref="D197:F197"/>
    <mergeCell ref="D198:E198"/>
    <mergeCell ref="D199:F199"/>
    <mergeCell ref="D200:E200"/>
    <mergeCell ref="D201:F201"/>
    <mergeCell ref="D190:F190"/>
    <mergeCell ref="D191:E191"/>
    <mergeCell ref="D192:F192"/>
    <mergeCell ref="D193:E193"/>
    <mergeCell ref="D194:F194"/>
    <mergeCell ref="D195:E195"/>
    <mergeCell ref="D184:E184"/>
    <mergeCell ref="D185:E185"/>
    <mergeCell ref="D186:F186"/>
    <mergeCell ref="D187:E187"/>
    <mergeCell ref="D188:F188"/>
    <mergeCell ref="D189:E189"/>
    <mergeCell ref="D178:E178"/>
    <mergeCell ref="D179:F179"/>
    <mergeCell ref="D180:E180"/>
    <mergeCell ref="D181:F181"/>
    <mergeCell ref="D182:E182"/>
    <mergeCell ref="D183:F183"/>
    <mergeCell ref="D172:F172"/>
    <mergeCell ref="D173:E173"/>
    <mergeCell ref="D174:F174"/>
    <mergeCell ref="D175:E175"/>
    <mergeCell ref="D176:E176"/>
    <mergeCell ref="D177:F177"/>
    <mergeCell ref="D166:E166"/>
    <mergeCell ref="D167:F167"/>
    <mergeCell ref="D168:E168"/>
    <mergeCell ref="D169:F169"/>
    <mergeCell ref="D170:E170"/>
    <mergeCell ref="D171:E171"/>
    <mergeCell ref="D160:E160"/>
    <mergeCell ref="D161:F161"/>
    <mergeCell ref="D162:E162"/>
    <mergeCell ref="D163:F163"/>
    <mergeCell ref="D164:E164"/>
    <mergeCell ref="D165:F165"/>
    <mergeCell ref="D154:F154"/>
    <mergeCell ref="D155:E155"/>
    <mergeCell ref="D156:E156"/>
    <mergeCell ref="D157:F157"/>
    <mergeCell ref="D158:E158"/>
    <mergeCell ref="D159:F159"/>
    <mergeCell ref="D148:F148"/>
    <mergeCell ref="D149:E149"/>
    <mergeCell ref="D150:F150"/>
    <mergeCell ref="D151:E151"/>
    <mergeCell ref="D152:F152"/>
    <mergeCell ref="D153:E153"/>
    <mergeCell ref="D142:E142"/>
    <mergeCell ref="D143:E143"/>
    <mergeCell ref="D144:F144"/>
    <mergeCell ref="D145:E145"/>
    <mergeCell ref="D146:F146"/>
    <mergeCell ref="D147:E147"/>
    <mergeCell ref="D136:E136"/>
    <mergeCell ref="D137:F137"/>
    <mergeCell ref="D138:E138"/>
    <mergeCell ref="D139:F139"/>
    <mergeCell ref="D140:E140"/>
    <mergeCell ref="D141:F141"/>
    <mergeCell ref="D130:F130"/>
    <mergeCell ref="D131:E131"/>
    <mergeCell ref="D132:F132"/>
    <mergeCell ref="D133:E133"/>
    <mergeCell ref="D134:F134"/>
    <mergeCell ref="D135:E135"/>
    <mergeCell ref="D124:F124"/>
    <mergeCell ref="D125:E125"/>
    <mergeCell ref="D126:E126"/>
    <mergeCell ref="D127:F127"/>
    <mergeCell ref="D128:E128"/>
    <mergeCell ref="D129:E129"/>
    <mergeCell ref="D118:F118"/>
    <mergeCell ref="D119:E119"/>
    <mergeCell ref="D120:F120"/>
    <mergeCell ref="D121:E121"/>
    <mergeCell ref="D122:F122"/>
    <mergeCell ref="D123:E123"/>
    <mergeCell ref="D112:F112"/>
    <mergeCell ref="D113:E113"/>
    <mergeCell ref="D114:F114"/>
    <mergeCell ref="D115:E115"/>
    <mergeCell ref="D116:F116"/>
    <mergeCell ref="D117:F117"/>
    <mergeCell ref="D106:E106"/>
    <mergeCell ref="D107:F107"/>
    <mergeCell ref="D108:E108"/>
    <mergeCell ref="D109:F109"/>
    <mergeCell ref="D110:E110"/>
    <mergeCell ref="D111:F111"/>
    <mergeCell ref="D100:E100"/>
    <mergeCell ref="D101:F101"/>
    <mergeCell ref="D102:F102"/>
    <mergeCell ref="D103:E103"/>
    <mergeCell ref="D104:F104"/>
    <mergeCell ref="D105:F105"/>
    <mergeCell ref="D94:F94"/>
    <mergeCell ref="D95:E95"/>
    <mergeCell ref="D96:F96"/>
    <mergeCell ref="D97:E97"/>
    <mergeCell ref="D98:F98"/>
    <mergeCell ref="D99:F99"/>
    <mergeCell ref="D88:E88"/>
    <mergeCell ref="D89:E89"/>
    <mergeCell ref="D90:F90"/>
    <mergeCell ref="D91:E91"/>
    <mergeCell ref="D92:F92"/>
    <mergeCell ref="D93:E93"/>
    <mergeCell ref="D82:E82"/>
    <mergeCell ref="D83:F83"/>
    <mergeCell ref="D84:E84"/>
    <mergeCell ref="D85:F85"/>
    <mergeCell ref="D86:E86"/>
    <mergeCell ref="D87:F87"/>
    <mergeCell ref="D76:F76"/>
    <mergeCell ref="D77:E77"/>
    <mergeCell ref="D78:F78"/>
    <mergeCell ref="D79:E79"/>
    <mergeCell ref="D80:F80"/>
    <mergeCell ref="D81:F81"/>
    <mergeCell ref="D70:F70"/>
    <mergeCell ref="D71:F71"/>
    <mergeCell ref="D72:E72"/>
    <mergeCell ref="D73:F73"/>
    <mergeCell ref="D74:E74"/>
    <mergeCell ref="D75:F75"/>
    <mergeCell ref="D64:E64"/>
    <mergeCell ref="D65:F65"/>
    <mergeCell ref="D66:E66"/>
    <mergeCell ref="D67:E67"/>
    <mergeCell ref="D68:F68"/>
    <mergeCell ref="D69:E69"/>
    <mergeCell ref="D58:F58"/>
    <mergeCell ref="D59:E59"/>
    <mergeCell ref="D60:E60"/>
    <mergeCell ref="D61:F61"/>
    <mergeCell ref="D62:E62"/>
    <mergeCell ref="D63:F63"/>
    <mergeCell ref="D52:E52"/>
    <mergeCell ref="D53:F53"/>
    <mergeCell ref="D54:E54"/>
    <mergeCell ref="D55:F55"/>
    <mergeCell ref="D56:E56"/>
    <mergeCell ref="D57:F57"/>
    <mergeCell ref="D46:F46"/>
    <mergeCell ref="D47:E47"/>
    <mergeCell ref="D48:F48"/>
    <mergeCell ref="D49:E49"/>
    <mergeCell ref="D50:E50"/>
    <mergeCell ref="D51:F51"/>
    <mergeCell ref="D40:E40"/>
    <mergeCell ref="D41:F41"/>
    <mergeCell ref="D42:E42"/>
    <mergeCell ref="D43:E43"/>
    <mergeCell ref="D44:F44"/>
    <mergeCell ref="D45:E45"/>
    <mergeCell ref="D34:F34"/>
    <mergeCell ref="D35:E35"/>
    <mergeCell ref="D36:F36"/>
    <mergeCell ref="D37:E37"/>
    <mergeCell ref="D38:F38"/>
    <mergeCell ref="D39:E39"/>
    <mergeCell ref="D28:E28"/>
    <mergeCell ref="D29:F29"/>
    <mergeCell ref="D30:E30"/>
    <mergeCell ref="D31:F31"/>
    <mergeCell ref="D32:E32"/>
    <mergeCell ref="D33:E33"/>
    <mergeCell ref="D22:E22"/>
    <mergeCell ref="D23:E23"/>
    <mergeCell ref="D24:F24"/>
    <mergeCell ref="D25:E25"/>
    <mergeCell ref="D26:F26"/>
    <mergeCell ref="D27:E27"/>
    <mergeCell ref="D16:F16"/>
    <mergeCell ref="D17:E17"/>
    <mergeCell ref="D18:F18"/>
    <mergeCell ref="D19:E19"/>
    <mergeCell ref="D20:E20"/>
    <mergeCell ref="D21:F21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cech</cp:lastModifiedBy>
  <dcterms:created xsi:type="dcterms:W3CDTF">2020-07-14T06:21:50Z</dcterms:created>
  <dcterms:modified xsi:type="dcterms:W3CDTF">2020-07-14T06:37:43Z</dcterms:modified>
</cp:coreProperties>
</file>